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barzua\Documents\RESPALDO\USUSARIO\2026\03 Informe de Ejecución\01 Ejecución Página Web\04\"/>
    </mc:Choice>
  </mc:AlternateContent>
  <xr:revisionPtr revIDLastSave="0" documentId="13_ncr:1_{8CC553B5-AFC5-42DE-88A1-EA65D5C59C72}" xr6:coauthVersionLast="47" xr6:coauthVersionMax="47" xr10:uidLastSave="{00000000-0000-0000-0000-000000000000}"/>
  <bookViews>
    <workbookView xWindow="-28920" yWindow="-105" windowWidth="29040" windowHeight="15840" activeTab="1" xr2:uid="{00000000-000D-0000-FFFF-FFFF00000000}"/>
  </bookViews>
  <sheets>
    <sheet name="Informe Ejecución" sheetId="1" r:id="rId1"/>
    <sheet name="Informe Victimas y Testigos" sheetId="4" r:id="rId2"/>
    <sheet name="Informe WEB" sheetId="3" r:id="rId3"/>
  </sheets>
  <definedNames>
    <definedName name="_xlnm._FilterDatabase" localSheetId="0" hidden="1">'Informe Ejecución'!$A$9:$V$372</definedName>
    <definedName name="_xlnm.Print_Area" localSheetId="0">'Informe Ejecución'!$A$8:$S$443</definedName>
    <definedName name="_xlnm.Print_Titles" localSheetId="0">'Informe Ejecución'!$8:$9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3" i="1" l="1"/>
  <c r="S370" i="1"/>
  <c r="S337" i="1"/>
  <c r="S254" i="1"/>
  <c r="S232" i="1"/>
  <c r="S230" i="1"/>
  <c r="S214" i="1"/>
  <c r="H90" i="1"/>
  <c r="T42" i="1"/>
  <c r="T33" i="1"/>
  <c r="T359" i="1"/>
  <c r="H359" i="1"/>
  <c r="G359" i="1"/>
  <c r="S360" i="1"/>
  <c r="V360" i="1" s="1"/>
  <c r="V359" i="1" s="1"/>
  <c r="H344" i="1"/>
  <c r="I344" i="1"/>
  <c r="J344" i="1"/>
  <c r="K344" i="1"/>
  <c r="L344" i="1"/>
  <c r="M344" i="1"/>
  <c r="N344" i="1"/>
  <c r="O344" i="1"/>
  <c r="P344" i="1"/>
  <c r="Q344" i="1"/>
  <c r="R344" i="1"/>
  <c r="G344" i="1"/>
  <c r="S177" i="1"/>
  <c r="V177" i="1" s="1"/>
  <c r="S176" i="1"/>
  <c r="V176" i="1" s="1"/>
  <c r="S175" i="1"/>
  <c r="V175" i="1" s="1"/>
  <c r="S174" i="1"/>
  <c r="V174" i="1" s="1"/>
  <c r="S172" i="1"/>
  <c r="V172" i="1" s="1"/>
  <c r="S171" i="1"/>
  <c r="V171" i="1" s="1"/>
  <c r="S170" i="1"/>
  <c r="V170" i="1" s="1"/>
  <c r="S169" i="1"/>
  <c r="V169" i="1" s="1"/>
  <c r="S168" i="1"/>
  <c r="V168" i="1" s="1"/>
  <c r="G173" i="1"/>
  <c r="G167" i="1" s="1"/>
  <c r="H173" i="1"/>
  <c r="H167" i="1" s="1"/>
  <c r="S166" i="1"/>
  <c r="V166" i="1" s="1"/>
  <c r="S165" i="1"/>
  <c r="V165" i="1" s="1"/>
  <c r="S164" i="1"/>
  <c r="V164" i="1" s="1"/>
  <c r="S163" i="1"/>
  <c r="V163" i="1" s="1"/>
  <c r="G162" i="1"/>
  <c r="H162" i="1"/>
  <c r="H207" i="1"/>
  <c r="H234" i="1"/>
  <c r="S359" i="1" l="1"/>
  <c r="V162" i="1"/>
  <c r="V173" i="1"/>
  <c r="V167" i="1" s="1"/>
  <c r="S173" i="1"/>
  <c r="S167" i="1" s="1"/>
  <c r="S162" i="1"/>
  <c r="T48" i="1"/>
  <c r="G48" i="1"/>
  <c r="V254" i="1"/>
  <c r="E23" i="3"/>
  <c r="E22" i="3" s="1"/>
  <c r="T194" i="1" l="1"/>
  <c r="U337" i="1" l="1"/>
  <c r="U254" i="1"/>
  <c r="T250" i="1"/>
  <c r="T336" i="1"/>
  <c r="G191" i="1"/>
  <c r="T191" i="1"/>
  <c r="H48" i="1"/>
  <c r="I48" i="1"/>
  <c r="J48" i="1"/>
  <c r="K48" i="1"/>
  <c r="L48" i="1"/>
  <c r="M48" i="1"/>
  <c r="N48" i="1"/>
  <c r="O48" i="1"/>
  <c r="P48" i="1"/>
  <c r="Q48" i="1"/>
  <c r="R48" i="1"/>
  <c r="S276" i="1"/>
  <c r="R394" i="1" l="1"/>
  <c r="R37" i="1"/>
  <c r="S298" i="1"/>
  <c r="U298" i="1" s="1"/>
  <c r="T297" i="1"/>
  <c r="T271" i="1"/>
  <c r="P37" i="1"/>
  <c r="P36" i="1" s="1"/>
  <c r="P12" i="1"/>
  <c r="P11" i="1" s="1"/>
  <c r="O394" i="1"/>
  <c r="N394" i="1"/>
  <c r="N194" i="1"/>
  <c r="N12" i="1"/>
  <c r="M394" i="1"/>
  <c r="M193" i="1"/>
  <c r="V298" i="1" l="1"/>
  <c r="R36" i="1"/>
  <c r="T37" i="1"/>
  <c r="S40" i="1"/>
  <c r="S39" i="1"/>
  <c r="L394" i="1"/>
  <c r="L250" i="1"/>
  <c r="S327" i="1"/>
  <c r="V327" i="1" s="1"/>
  <c r="T314" i="1"/>
  <c r="S317" i="1"/>
  <c r="V317" i="1" s="1"/>
  <c r="V39" i="1" l="1"/>
  <c r="V40" i="1"/>
  <c r="S316" i="1"/>
  <c r="S339" i="1"/>
  <c r="S313" i="1"/>
  <c r="V313" i="1" s="1"/>
  <c r="S294" i="1"/>
  <c r="S255" i="1"/>
  <c r="K394" i="1"/>
  <c r="S202" i="1"/>
  <c r="R324" i="1"/>
  <c r="Q324" i="1"/>
  <c r="P324" i="1"/>
  <c r="O324" i="1"/>
  <c r="N324" i="1"/>
  <c r="M324" i="1"/>
  <c r="L324" i="1"/>
  <c r="K324" i="1"/>
  <c r="J324" i="1"/>
  <c r="I324" i="1"/>
  <c r="H324" i="1"/>
  <c r="G324" i="1"/>
  <c r="T32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V255" i="1" l="1"/>
  <c r="V339" i="1"/>
  <c r="S253" i="1"/>
  <c r="J394" i="1"/>
  <c r="J194" i="1"/>
  <c r="T361" i="1"/>
  <c r="T12" i="1"/>
  <c r="T11" i="1" l="1"/>
  <c r="S184" i="1"/>
  <c r="S182" i="1"/>
  <c r="G361" i="1"/>
  <c r="H361" i="1"/>
  <c r="S262" i="1"/>
  <c r="V262" i="1" s="1"/>
  <c r="S263" i="1"/>
  <c r="V263" i="1" s="1"/>
  <c r="S264" i="1"/>
  <c r="V264" i="1" s="1"/>
  <c r="S68" i="1"/>
  <c r="U68" i="1" s="1"/>
  <c r="S335" i="1"/>
  <c r="S323" i="1"/>
  <c r="S307" i="1"/>
  <c r="S249" i="1"/>
  <c r="S281" i="1"/>
  <c r="V253" i="1"/>
  <c r="H194" i="1"/>
  <c r="I193" i="1"/>
  <c r="J193" i="1"/>
  <c r="K194" i="1"/>
  <c r="L193" i="1"/>
  <c r="N193" i="1"/>
  <c r="O193" i="1"/>
  <c r="P194" i="1"/>
  <c r="P193" i="1" s="1"/>
  <c r="Q194" i="1"/>
  <c r="R194" i="1"/>
  <c r="G394" i="1"/>
  <c r="S367" i="1"/>
  <c r="G194" i="1"/>
  <c r="S198" i="1"/>
  <c r="S197" i="1"/>
  <c r="S196" i="1"/>
  <c r="S195" i="1"/>
  <c r="G12" i="1"/>
  <c r="V316" i="1"/>
  <c r="S326" i="1"/>
  <c r="S318" i="1"/>
  <c r="S258" i="1"/>
  <c r="S259" i="1"/>
  <c r="R12" i="1"/>
  <c r="Q12" i="1"/>
  <c r="H193" i="1" l="1"/>
  <c r="R193" i="1"/>
  <c r="R11" i="1"/>
  <c r="Q193" i="1"/>
  <c r="Q11" i="1"/>
  <c r="V198" i="1"/>
  <c r="U198" i="1"/>
  <c r="V281" i="1"/>
  <c r="V323" i="1"/>
  <c r="K193" i="1"/>
  <c r="G11" i="1"/>
  <c r="G193" i="1"/>
  <c r="V196" i="1"/>
  <c r="V197" i="1"/>
  <c r="V367" i="1"/>
  <c r="T193" i="1"/>
  <c r="V307" i="1"/>
  <c r="V326" i="1"/>
  <c r="V335" i="1"/>
  <c r="V195" i="1"/>
  <c r="S194" i="1"/>
  <c r="U195" i="1"/>
  <c r="U196" i="1"/>
  <c r="U197" i="1"/>
  <c r="V258" i="1"/>
  <c r="V259" i="1"/>
  <c r="E25" i="3" l="1"/>
  <c r="V194" i="1"/>
  <c r="U194" i="1"/>
  <c r="S193" i="1"/>
  <c r="S301" i="1"/>
  <c r="S302" i="1"/>
  <c r="S303" i="1"/>
  <c r="S304" i="1"/>
  <c r="S292" i="1"/>
  <c r="T201" i="1"/>
  <c r="S257" i="1"/>
  <c r="V292" i="1" l="1"/>
  <c r="V304" i="1"/>
  <c r="F25" i="3"/>
  <c r="U193" i="1"/>
  <c r="V193" i="1"/>
  <c r="V302" i="1"/>
  <c r="V301" i="1"/>
  <c r="V303" i="1"/>
  <c r="U292" i="1"/>
  <c r="S98" i="1"/>
  <c r="I37" i="1"/>
  <c r="H37" i="1"/>
  <c r="T25" i="1"/>
  <c r="V276" i="1"/>
  <c r="V256" i="1"/>
  <c r="I36" i="1" l="1"/>
  <c r="T36" i="1"/>
  <c r="H36" i="1" l="1"/>
  <c r="G16" i="1"/>
  <c r="T207" i="1"/>
  <c r="S38" i="1"/>
  <c r="S37" i="1"/>
  <c r="Q36" i="1"/>
  <c r="O36" i="1"/>
  <c r="N36" i="1"/>
  <c r="M36" i="1"/>
  <c r="L36" i="1"/>
  <c r="K36" i="1"/>
  <c r="G36" i="1"/>
  <c r="V37" i="1" l="1"/>
  <c r="V38" i="1"/>
  <c r="S36" i="1"/>
  <c r="S14" i="1"/>
  <c r="U14" i="1" s="1"/>
  <c r="S13" i="1"/>
  <c r="U13" i="1" s="1"/>
  <c r="O12" i="1"/>
  <c r="N11" i="1"/>
  <c r="M12" i="1"/>
  <c r="M11" i="1" s="1"/>
  <c r="L12" i="1"/>
  <c r="K12" i="1"/>
  <c r="J12" i="1"/>
  <c r="I12" i="1"/>
  <c r="H12" i="1"/>
  <c r="S366" i="1"/>
  <c r="S192" i="1"/>
  <c r="R191" i="1"/>
  <c r="Q191" i="1"/>
  <c r="P191" i="1"/>
  <c r="O191" i="1"/>
  <c r="N191" i="1"/>
  <c r="M191" i="1"/>
  <c r="L191" i="1"/>
  <c r="K191" i="1"/>
  <c r="J191" i="1"/>
  <c r="I191" i="1"/>
  <c r="H191" i="1"/>
  <c r="S270" i="1"/>
  <c r="H16" i="1"/>
  <c r="I16" i="1"/>
  <c r="J16" i="1"/>
  <c r="K16" i="1"/>
  <c r="L16" i="1"/>
  <c r="M16" i="1"/>
  <c r="N16" i="1"/>
  <c r="O16" i="1"/>
  <c r="P16" i="1"/>
  <c r="Q16" i="1"/>
  <c r="R16" i="1"/>
  <c r="H19" i="1"/>
  <c r="I19" i="1"/>
  <c r="J19" i="1"/>
  <c r="K19" i="1"/>
  <c r="L19" i="1"/>
  <c r="M19" i="1"/>
  <c r="N19" i="1"/>
  <c r="O19" i="1"/>
  <c r="P19" i="1"/>
  <c r="Q19" i="1"/>
  <c r="R19" i="1"/>
  <c r="H22" i="1"/>
  <c r="I22" i="1"/>
  <c r="J22" i="1"/>
  <c r="K22" i="1"/>
  <c r="L22" i="1"/>
  <c r="M22" i="1"/>
  <c r="N22" i="1"/>
  <c r="O22" i="1"/>
  <c r="P22" i="1"/>
  <c r="Q22" i="1"/>
  <c r="R22" i="1"/>
  <c r="H25" i="1"/>
  <c r="I25" i="1"/>
  <c r="J25" i="1"/>
  <c r="K25" i="1"/>
  <c r="L25" i="1"/>
  <c r="M25" i="1"/>
  <c r="N25" i="1"/>
  <c r="O25" i="1"/>
  <c r="P25" i="1"/>
  <c r="Q25" i="1"/>
  <c r="R25" i="1"/>
  <c r="H28" i="1"/>
  <c r="I28" i="1"/>
  <c r="J28" i="1"/>
  <c r="K28" i="1"/>
  <c r="L28" i="1"/>
  <c r="M28" i="1"/>
  <c r="N28" i="1"/>
  <c r="O28" i="1"/>
  <c r="P28" i="1"/>
  <c r="Q28" i="1"/>
  <c r="R28" i="1"/>
  <c r="H33" i="1"/>
  <c r="I33" i="1"/>
  <c r="J33" i="1"/>
  <c r="K33" i="1"/>
  <c r="L33" i="1"/>
  <c r="M33" i="1"/>
  <c r="N33" i="1"/>
  <c r="O33" i="1"/>
  <c r="P33" i="1"/>
  <c r="Q33" i="1"/>
  <c r="R33" i="1"/>
  <c r="H42" i="1"/>
  <c r="I42" i="1"/>
  <c r="J42" i="1"/>
  <c r="K42" i="1"/>
  <c r="L42" i="1"/>
  <c r="M42" i="1"/>
  <c r="N42" i="1"/>
  <c r="O42" i="1"/>
  <c r="P42" i="1"/>
  <c r="Q42" i="1"/>
  <c r="R42" i="1"/>
  <c r="V257" i="1"/>
  <c r="F23" i="3" l="1"/>
  <c r="U192" i="1"/>
  <c r="O11" i="1"/>
  <c r="L11" i="1"/>
  <c r="K11" i="1"/>
  <c r="J11" i="1"/>
  <c r="I11" i="1"/>
  <c r="M15" i="1"/>
  <c r="N15" i="1"/>
  <c r="K15" i="1"/>
  <c r="I15" i="1"/>
  <c r="R15" i="1"/>
  <c r="R10" i="1" s="1"/>
  <c r="L15" i="1"/>
  <c r="Q15" i="1"/>
  <c r="J15" i="1"/>
  <c r="P15" i="1"/>
  <c r="P10" i="1" s="1"/>
  <c r="O15" i="1"/>
  <c r="H15" i="1"/>
  <c r="H11" i="1"/>
  <c r="V192" i="1"/>
  <c r="V270" i="1"/>
  <c r="V14" i="1"/>
  <c r="S12" i="1"/>
  <c r="V366" i="1"/>
  <c r="V279" i="1"/>
  <c r="U279" i="1"/>
  <c r="E24" i="3"/>
  <c r="V13" i="1"/>
  <c r="S191" i="1"/>
  <c r="U191" i="1" s="1"/>
  <c r="Q394" i="1"/>
  <c r="P394" i="1"/>
  <c r="S306" i="1"/>
  <c r="S260" i="1"/>
  <c r="J10" i="1" l="1"/>
  <c r="G23" i="3"/>
  <c r="F22" i="3"/>
  <c r="G22" i="3" s="1"/>
  <c r="Q10" i="1"/>
  <c r="L10" i="1"/>
  <c r="S11" i="1"/>
  <c r="U12" i="1"/>
  <c r="U11" i="1" s="1"/>
  <c r="H10" i="1"/>
  <c r="V191" i="1"/>
  <c r="V260" i="1"/>
  <c r="V12" i="1"/>
  <c r="V11" i="1" s="1"/>
  <c r="V36" i="1"/>
  <c r="N10" i="1"/>
  <c r="O10" i="1"/>
  <c r="M10" i="1"/>
  <c r="K10" i="1"/>
  <c r="I10" i="1"/>
  <c r="V306" i="1"/>
  <c r="S286" i="1"/>
  <c r="S283" i="1"/>
  <c r="R271" i="1"/>
  <c r="Q271" i="1"/>
  <c r="P271" i="1"/>
  <c r="O271" i="1"/>
  <c r="N271" i="1"/>
  <c r="M271" i="1"/>
  <c r="L271" i="1"/>
  <c r="J271" i="1"/>
  <c r="I271" i="1"/>
  <c r="H271" i="1"/>
  <c r="G271" i="1"/>
  <c r="K271" i="1"/>
  <c r="T213" i="1"/>
  <c r="T206" i="1"/>
  <c r="S208" i="1"/>
  <c r="R207" i="1"/>
  <c r="Q207" i="1"/>
  <c r="P207" i="1"/>
  <c r="P206" i="1" s="1"/>
  <c r="P440" i="1" s="1"/>
  <c r="O207" i="1"/>
  <c r="N207" i="1"/>
  <c r="M207" i="1"/>
  <c r="L207" i="1"/>
  <c r="K207" i="1"/>
  <c r="G207" i="1"/>
  <c r="J207" i="1"/>
  <c r="I207" i="1"/>
  <c r="R206" i="1" l="1"/>
  <c r="Q206" i="1"/>
  <c r="O206" i="1"/>
  <c r="N206" i="1"/>
  <c r="L206" i="1"/>
  <c r="L440" i="1" s="1"/>
  <c r="K206" i="1"/>
  <c r="J206" i="1"/>
  <c r="I206" i="1"/>
  <c r="H206" i="1"/>
  <c r="V294" i="1"/>
  <c r="S207" i="1"/>
  <c r="M206" i="1"/>
  <c r="V286" i="1"/>
  <c r="U286" i="1"/>
  <c r="G25" i="3"/>
  <c r="F24" i="3"/>
  <c r="G24" i="3" s="1"/>
  <c r="V283" i="1"/>
  <c r="E32" i="3"/>
  <c r="E30" i="3"/>
  <c r="E29" i="3" s="1"/>
  <c r="G206" i="1"/>
  <c r="V208" i="1"/>
  <c r="F30" i="3"/>
  <c r="R440" i="1" l="1"/>
  <c r="Q440" i="1"/>
  <c r="O440" i="1"/>
  <c r="N440" i="1"/>
  <c r="K440" i="1"/>
  <c r="J440" i="1"/>
  <c r="I440" i="1"/>
  <c r="H440" i="1"/>
  <c r="S206" i="1"/>
  <c r="F29" i="3"/>
  <c r="M440" i="1"/>
  <c r="V207" i="1"/>
  <c r="G440" i="1"/>
  <c r="V206" i="1" l="1"/>
  <c r="H394" i="1"/>
  <c r="G297" i="1"/>
  <c r="S329" i="1" l="1"/>
  <c r="S330" i="1"/>
  <c r="S328" i="1"/>
  <c r="S319" i="1"/>
  <c r="S321" i="1"/>
  <c r="S322" i="1"/>
  <c r="H201" i="1"/>
  <c r="I201" i="1"/>
  <c r="J201" i="1"/>
  <c r="K201" i="1"/>
  <c r="L201" i="1"/>
  <c r="M201" i="1"/>
  <c r="N201" i="1"/>
  <c r="O201" i="1"/>
  <c r="Q201" i="1"/>
  <c r="R201" i="1"/>
  <c r="G203" i="1"/>
  <c r="G201" i="1"/>
  <c r="P237" i="1"/>
  <c r="G200" i="1" l="1"/>
  <c r="P201" i="1"/>
  <c r="S320" i="1"/>
  <c r="S314" i="1" s="1"/>
  <c r="S204" i="1"/>
  <c r="U204" i="1" s="1"/>
  <c r="R203" i="1"/>
  <c r="H203" i="1"/>
  <c r="I203" i="1"/>
  <c r="J203" i="1"/>
  <c r="K203" i="1"/>
  <c r="L203" i="1"/>
  <c r="M203" i="1"/>
  <c r="N203" i="1"/>
  <c r="O203" i="1"/>
  <c r="P203" i="1"/>
  <c r="Q203" i="1"/>
  <c r="T203" i="1"/>
  <c r="R200" i="1" l="1"/>
  <c r="Q200" i="1"/>
  <c r="O200" i="1"/>
  <c r="N200" i="1"/>
  <c r="M200" i="1"/>
  <c r="L200" i="1"/>
  <c r="L439" i="1" s="1"/>
  <c r="J200" i="1"/>
  <c r="K200" i="1"/>
  <c r="P200" i="1"/>
  <c r="I200" i="1"/>
  <c r="H200" i="1"/>
  <c r="E28" i="3"/>
  <c r="V204" i="1"/>
  <c r="S203" i="1"/>
  <c r="U203" i="1" s="1"/>
  <c r="K439" i="1" l="1"/>
  <c r="F28" i="3"/>
  <c r="G28" i="3" s="1"/>
  <c r="I439" i="1"/>
  <c r="J439" i="1"/>
  <c r="V203" i="1"/>
  <c r="V318" i="1" l="1"/>
  <c r="V328" i="1"/>
  <c r="S272" i="1"/>
  <c r="U272" i="1" s="1"/>
  <c r="S261" i="1"/>
  <c r="S252" i="1"/>
  <c r="V252" i="1" l="1"/>
  <c r="V261" i="1"/>
  <c r="V272" i="1"/>
  <c r="H297" i="1" l="1"/>
  <c r="J297" i="1"/>
  <c r="K297" i="1"/>
  <c r="L297" i="1"/>
  <c r="M297" i="1"/>
  <c r="N297" i="1"/>
  <c r="O297" i="1"/>
  <c r="P297" i="1"/>
  <c r="Q297" i="1"/>
  <c r="R297" i="1"/>
  <c r="I297" i="1"/>
  <c r="I250" i="1"/>
  <c r="T234" i="1" l="1"/>
  <c r="T90" i="1" l="1"/>
  <c r="G69" i="1" l="1"/>
  <c r="R250" i="1" l="1"/>
  <c r="Q250" i="1"/>
  <c r="P403" i="1" l="1"/>
  <c r="P415" i="1"/>
  <c r="P417" i="1" l="1"/>
  <c r="S146" i="1" l="1"/>
  <c r="T142" i="1" l="1"/>
  <c r="T19" i="1" l="1"/>
  <c r="G19" i="1"/>
  <c r="S23" i="1"/>
  <c r="S18" i="1"/>
  <c r="U18" i="1" s="1"/>
  <c r="G22" i="1"/>
  <c r="G15" i="1" l="1"/>
  <c r="V23" i="1"/>
  <c r="V322" i="1"/>
  <c r="T65" i="1"/>
  <c r="T69" i="1"/>
  <c r="S64" i="1"/>
  <c r="I59" i="1" l="1"/>
  <c r="J59" i="1"/>
  <c r="K59" i="1"/>
  <c r="L59" i="1"/>
  <c r="M59" i="1"/>
  <c r="N59" i="1"/>
  <c r="O59" i="1"/>
  <c r="P59" i="1"/>
  <c r="Q59" i="1"/>
  <c r="R59" i="1"/>
  <c r="I62" i="1"/>
  <c r="J62" i="1"/>
  <c r="K62" i="1"/>
  <c r="L62" i="1"/>
  <c r="M62" i="1"/>
  <c r="N62" i="1"/>
  <c r="O62" i="1"/>
  <c r="P62" i="1"/>
  <c r="Q62" i="1"/>
  <c r="R62" i="1"/>
  <c r="I65" i="1"/>
  <c r="J65" i="1"/>
  <c r="K65" i="1"/>
  <c r="L65" i="1"/>
  <c r="M65" i="1"/>
  <c r="N65" i="1"/>
  <c r="O65" i="1"/>
  <c r="P65" i="1"/>
  <c r="Q65" i="1"/>
  <c r="R65" i="1"/>
  <c r="I69" i="1"/>
  <c r="J69" i="1"/>
  <c r="K69" i="1"/>
  <c r="L69" i="1"/>
  <c r="M69" i="1"/>
  <c r="N69" i="1"/>
  <c r="P69" i="1"/>
  <c r="Q69" i="1"/>
  <c r="R69" i="1"/>
  <c r="I76" i="1"/>
  <c r="J76" i="1"/>
  <c r="K76" i="1"/>
  <c r="L76" i="1"/>
  <c r="M76" i="1"/>
  <c r="N76" i="1"/>
  <c r="O76" i="1"/>
  <c r="P76" i="1"/>
  <c r="Q76" i="1"/>
  <c r="R76" i="1"/>
  <c r="I90" i="1"/>
  <c r="J90" i="1"/>
  <c r="K90" i="1"/>
  <c r="L90" i="1"/>
  <c r="M90" i="1"/>
  <c r="N90" i="1"/>
  <c r="O90" i="1"/>
  <c r="P90" i="1"/>
  <c r="Q90" i="1"/>
  <c r="R90" i="1"/>
  <c r="I94" i="1"/>
  <c r="J94" i="1"/>
  <c r="K94" i="1"/>
  <c r="L94" i="1"/>
  <c r="M94" i="1"/>
  <c r="N94" i="1"/>
  <c r="O94" i="1"/>
  <c r="P94" i="1"/>
  <c r="Q94" i="1"/>
  <c r="R94" i="1"/>
  <c r="I97" i="1"/>
  <c r="J97" i="1"/>
  <c r="K97" i="1"/>
  <c r="L97" i="1"/>
  <c r="M97" i="1"/>
  <c r="N97" i="1"/>
  <c r="O97" i="1"/>
  <c r="P97" i="1"/>
  <c r="Q97" i="1"/>
  <c r="R97" i="1"/>
  <c r="I101" i="1"/>
  <c r="J101" i="1"/>
  <c r="K101" i="1"/>
  <c r="L101" i="1"/>
  <c r="M101" i="1"/>
  <c r="N101" i="1"/>
  <c r="O101" i="1"/>
  <c r="P101" i="1"/>
  <c r="Q101" i="1"/>
  <c r="R101" i="1"/>
  <c r="I106" i="1"/>
  <c r="J106" i="1"/>
  <c r="K106" i="1"/>
  <c r="L106" i="1"/>
  <c r="M106" i="1"/>
  <c r="N106" i="1"/>
  <c r="O106" i="1"/>
  <c r="P106" i="1"/>
  <c r="Q106" i="1"/>
  <c r="R106" i="1"/>
  <c r="I119" i="1"/>
  <c r="J119" i="1"/>
  <c r="K119" i="1"/>
  <c r="L119" i="1"/>
  <c r="M119" i="1"/>
  <c r="N119" i="1"/>
  <c r="O119" i="1"/>
  <c r="P119" i="1"/>
  <c r="Q119" i="1"/>
  <c r="R119" i="1"/>
  <c r="I129" i="1"/>
  <c r="J129" i="1"/>
  <c r="K129" i="1"/>
  <c r="L129" i="1"/>
  <c r="M129" i="1"/>
  <c r="N129" i="1"/>
  <c r="O129" i="1"/>
  <c r="P129" i="1"/>
  <c r="Q129" i="1"/>
  <c r="R129" i="1"/>
  <c r="I137" i="1"/>
  <c r="J137" i="1"/>
  <c r="K137" i="1"/>
  <c r="L137" i="1"/>
  <c r="M137" i="1"/>
  <c r="N137" i="1"/>
  <c r="O137" i="1"/>
  <c r="P137" i="1"/>
  <c r="Q137" i="1"/>
  <c r="R137" i="1"/>
  <c r="I142" i="1"/>
  <c r="J142" i="1"/>
  <c r="K142" i="1"/>
  <c r="L142" i="1"/>
  <c r="M142" i="1"/>
  <c r="N142" i="1"/>
  <c r="O142" i="1"/>
  <c r="P142" i="1"/>
  <c r="Q142" i="1"/>
  <c r="R142" i="1"/>
  <c r="I150" i="1"/>
  <c r="J150" i="1"/>
  <c r="K150" i="1"/>
  <c r="L150" i="1"/>
  <c r="M150" i="1"/>
  <c r="N150" i="1"/>
  <c r="O150" i="1"/>
  <c r="Q150" i="1"/>
  <c r="R150" i="1"/>
  <c r="I158" i="1"/>
  <c r="J158" i="1"/>
  <c r="K158" i="1"/>
  <c r="L158" i="1"/>
  <c r="M158" i="1"/>
  <c r="N158" i="1"/>
  <c r="O158" i="1"/>
  <c r="P158" i="1"/>
  <c r="Q158" i="1"/>
  <c r="R158" i="1"/>
  <c r="I162" i="1"/>
  <c r="J162" i="1"/>
  <c r="K162" i="1"/>
  <c r="L162" i="1"/>
  <c r="M162" i="1"/>
  <c r="N162" i="1"/>
  <c r="O162" i="1"/>
  <c r="P162" i="1"/>
  <c r="Q162" i="1"/>
  <c r="R162" i="1"/>
  <c r="I173" i="1"/>
  <c r="J173" i="1"/>
  <c r="K173" i="1"/>
  <c r="L173" i="1"/>
  <c r="M173" i="1"/>
  <c r="N173" i="1"/>
  <c r="O173" i="1"/>
  <c r="P173" i="1"/>
  <c r="Q173" i="1"/>
  <c r="R173" i="1"/>
  <c r="I181" i="1"/>
  <c r="J181" i="1"/>
  <c r="K181" i="1"/>
  <c r="L181" i="1"/>
  <c r="M181" i="1"/>
  <c r="N181" i="1"/>
  <c r="O181" i="1"/>
  <c r="P181" i="1"/>
  <c r="Q181" i="1"/>
  <c r="R181" i="1"/>
  <c r="I183" i="1"/>
  <c r="J183" i="1"/>
  <c r="K183" i="1"/>
  <c r="L183" i="1"/>
  <c r="M183" i="1"/>
  <c r="N183" i="1"/>
  <c r="O183" i="1"/>
  <c r="P183" i="1"/>
  <c r="Q183" i="1"/>
  <c r="R183" i="1"/>
  <c r="I187" i="1"/>
  <c r="J187" i="1"/>
  <c r="K187" i="1"/>
  <c r="L187" i="1"/>
  <c r="M187" i="1"/>
  <c r="N187" i="1"/>
  <c r="O187" i="1"/>
  <c r="P187" i="1"/>
  <c r="Q187" i="1"/>
  <c r="R187" i="1"/>
  <c r="I189" i="1"/>
  <c r="J189" i="1"/>
  <c r="K189" i="1"/>
  <c r="L189" i="1"/>
  <c r="M189" i="1"/>
  <c r="N189" i="1"/>
  <c r="O189" i="1"/>
  <c r="P189" i="1"/>
  <c r="Q189" i="1"/>
  <c r="R189" i="1"/>
  <c r="I213" i="1"/>
  <c r="J213" i="1"/>
  <c r="K213" i="1"/>
  <c r="L213" i="1"/>
  <c r="M213" i="1"/>
  <c r="N213" i="1"/>
  <c r="O213" i="1"/>
  <c r="P213" i="1"/>
  <c r="Q213" i="1"/>
  <c r="R213" i="1"/>
  <c r="I234" i="1"/>
  <c r="J234" i="1"/>
  <c r="K234" i="1"/>
  <c r="L234" i="1"/>
  <c r="M234" i="1"/>
  <c r="N234" i="1"/>
  <c r="O234" i="1"/>
  <c r="P234" i="1"/>
  <c r="Q234" i="1"/>
  <c r="R234" i="1"/>
  <c r="I237" i="1"/>
  <c r="J237" i="1"/>
  <c r="K237" i="1"/>
  <c r="L237" i="1"/>
  <c r="M237" i="1"/>
  <c r="N237" i="1"/>
  <c r="O237" i="1"/>
  <c r="Q237" i="1"/>
  <c r="R237" i="1"/>
  <c r="I240" i="1"/>
  <c r="J240" i="1"/>
  <c r="K240" i="1"/>
  <c r="L240" i="1"/>
  <c r="M240" i="1"/>
  <c r="N240" i="1"/>
  <c r="O240" i="1"/>
  <c r="P240" i="1"/>
  <c r="Q240" i="1"/>
  <c r="R240" i="1"/>
  <c r="I246" i="1"/>
  <c r="J246" i="1"/>
  <c r="K246" i="1"/>
  <c r="L246" i="1"/>
  <c r="M246" i="1"/>
  <c r="N246" i="1"/>
  <c r="O246" i="1"/>
  <c r="P246" i="1"/>
  <c r="Q246" i="1"/>
  <c r="R246" i="1"/>
  <c r="J250" i="1"/>
  <c r="K250" i="1"/>
  <c r="M250" i="1"/>
  <c r="N250" i="1"/>
  <c r="O250" i="1"/>
  <c r="P250" i="1"/>
  <c r="I295" i="1"/>
  <c r="J295" i="1"/>
  <c r="K295" i="1"/>
  <c r="L295" i="1"/>
  <c r="M295" i="1"/>
  <c r="N295" i="1"/>
  <c r="P295" i="1"/>
  <c r="Q295" i="1"/>
  <c r="R295" i="1"/>
  <c r="I336" i="1"/>
  <c r="J336" i="1"/>
  <c r="K336" i="1"/>
  <c r="L336" i="1"/>
  <c r="M336" i="1"/>
  <c r="N336" i="1"/>
  <c r="O336" i="1"/>
  <c r="P336" i="1"/>
  <c r="Q336" i="1"/>
  <c r="R336" i="1"/>
  <c r="I343" i="1"/>
  <c r="J343" i="1"/>
  <c r="K343" i="1"/>
  <c r="L343" i="1"/>
  <c r="M343" i="1"/>
  <c r="N343" i="1"/>
  <c r="O343" i="1"/>
  <c r="P343" i="1"/>
  <c r="Q343" i="1"/>
  <c r="R343" i="1"/>
  <c r="I348" i="1"/>
  <c r="J348" i="1"/>
  <c r="K348" i="1"/>
  <c r="L348" i="1"/>
  <c r="M348" i="1"/>
  <c r="N348" i="1"/>
  <c r="O348" i="1"/>
  <c r="P348" i="1"/>
  <c r="Q348" i="1"/>
  <c r="R348" i="1"/>
  <c r="I355" i="1"/>
  <c r="J355" i="1"/>
  <c r="K355" i="1"/>
  <c r="L355" i="1"/>
  <c r="M355" i="1"/>
  <c r="N355" i="1"/>
  <c r="O355" i="1"/>
  <c r="P355" i="1"/>
  <c r="Q355" i="1"/>
  <c r="R355" i="1"/>
  <c r="I359" i="1"/>
  <c r="J359" i="1"/>
  <c r="K359" i="1"/>
  <c r="L359" i="1"/>
  <c r="M359" i="1"/>
  <c r="N359" i="1"/>
  <c r="O359" i="1"/>
  <c r="P359" i="1"/>
  <c r="Q359" i="1"/>
  <c r="R359" i="1"/>
  <c r="I361" i="1"/>
  <c r="J361" i="1"/>
  <c r="K361" i="1"/>
  <c r="L361" i="1"/>
  <c r="M361" i="1"/>
  <c r="N361" i="1"/>
  <c r="O361" i="1"/>
  <c r="P361" i="1"/>
  <c r="Q361" i="1"/>
  <c r="R361" i="1"/>
  <c r="I369" i="1"/>
  <c r="J369" i="1"/>
  <c r="K369" i="1"/>
  <c r="L369" i="1"/>
  <c r="M369" i="1"/>
  <c r="N369" i="1"/>
  <c r="O369" i="1"/>
  <c r="P369" i="1"/>
  <c r="Q369" i="1"/>
  <c r="R369" i="1"/>
  <c r="H369" i="1"/>
  <c r="H355" i="1"/>
  <c r="H348" i="1"/>
  <c r="H343" i="1"/>
  <c r="H336" i="1"/>
  <c r="H295" i="1"/>
  <c r="H250" i="1"/>
  <c r="H246" i="1"/>
  <c r="H240" i="1"/>
  <c r="H237" i="1"/>
  <c r="H213" i="1"/>
  <c r="H189" i="1"/>
  <c r="H187" i="1"/>
  <c r="H183" i="1"/>
  <c r="H181" i="1"/>
  <c r="H158" i="1"/>
  <c r="H150" i="1"/>
  <c r="H142" i="1"/>
  <c r="H137" i="1"/>
  <c r="H129" i="1"/>
  <c r="H119" i="1"/>
  <c r="H106" i="1"/>
  <c r="H101" i="1"/>
  <c r="H97" i="1"/>
  <c r="H94" i="1"/>
  <c r="H76" i="1"/>
  <c r="H69" i="1"/>
  <c r="H65" i="1"/>
  <c r="H62" i="1"/>
  <c r="H59" i="1"/>
  <c r="J354" i="1" l="1"/>
  <c r="H210" i="1"/>
  <c r="M354" i="1"/>
  <c r="K354" i="1"/>
  <c r="I210" i="1"/>
  <c r="H354" i="1"/>
  <c r="H186" i="1"/>
  <c r="Q248" i="1"/>
  <c r="O186" i="1"/>
  <c r="N186" i="1"/>
  <c r="M186" i="1"/>
  <c r="L186" i="1"/>
  <c r="L438" i="1" s="1"/>
  <c r="K186" i="1"/>
  <c r="R248" i="1"/>
  <c r="J186" i="1"/>
  <c r="I186" i="1"/>
  <c r="R186" i="1"/>
  <c r="Q186" i="1"/>
  <c r="P186" i="1"/>
  <c r="J248" i="1"/>
  <c r="R354" i="1"/>
  <c r="Q354" i="1"/>
  <c r="P354" i="1"/>
  <c r="O354" i="1"/>
  <c r="N354" i="1"/>
  <c r="L354" i="1"/>
  <c r="K210" i="1"/>
  <c r="I354" i="1"/>
  <c r="M439" i="1"/>
  <c r="J167" i="1"/>
  <c r="J74" i="1"/>
  <c r="R167" i="1"/>
  <c r="R74" i="1"/>
  <c r="Q167" i="1"/>
  <c r="Q74" i="1"/>
  <c r="P167" i="1"/>
  <c r="P74" i="1"/>
  <c r="O167" i="1"/>
  <c r="O74" i="1"/>
  <c r="N167" i="1"/>
  <c r="N74" i="1"/>
  <c r="M167" i="1"/>
  <c r="M74" i="1"/>
  <c r="L167" i="1"/>
  <c r="L74" i="1"/>
  <c r="K167" i="1"/>
  <c r="K74" i="1"/>
  <c r="I167" i="1"/>
  <c r="I74" i="1"/>
  <c r="H74" i="1"/>
  <c r="O358" i="1"/>
  <c r="K358" i="1"/>
  <c r="Q342" i="1"/>
  <c r="M342" i="1"/>
  <c r="I342" i="1"/>
  <c r="Q180" i="1"/>
  <c r="M180" i="1"/>
  <c r="I180" i="1"/>
  <c r="R180" i="1"/>
  <c r="N180" i="1"/>
  <c r="J180" i="1"/>
  <c r="P180" i="1"/>
  <c r="L180" i="1"/>
  <c r="L437" i="1" s="1"/>
  <c r="H342" i="1"/>
  <c r="H248" i="1"/>
  <c r="H358" i="1"/>
  <c r="P47" i="1"/>
  <c r="R358" i="1"/>
  <c r="N358" i="1"/>
  <c r="J358" i="1"/>
  <c r="P358" i="1"/>
  <c r="L358" i="1"/>
  <c r="L443" i="1" s="1"/>
  <c r="M248" i="1"/>
  <c r="O210" i="1"/>
  <c r="L248" i="1"/>
  <c r="P210" i="1"/>
  <c r="L210" i="1"/>
  <c r="L441" i="1" s="1"/>
  <c r="N210" i="1"/>
  <c r="K47" i="1"/>
  <c r="H47" i="1"/>
  <c r="O342" i="1"/>
  <c r="K342" i="1"/>
  <c r="O248" i="1"/>
  <c r="K248" i="1"/>
  <c r="Q210" i="1"/>
  <c r="M210" i="1"/>
  <c r="O180" i="1"/>
  <c r="K180" i="1"/>
  <c r="L47" i="1"/>
  <c r="R47" i="1"/>
  <c r="N47" i="1"/>
  <c r="J47" i="1"/>
  <c r="I248" i="1"/>
  <c r="H180" i="1"/>
  <c r="N248" i="1"/>
  <c r="P248" i="1"/>
  <c r="R210" i="1"/>
  <c r="J210" i="1"/>
  <c r="O47" i="1"/>
  <c r="Q358" i="1"/>
  <c r="M358" i="1"/>
  <c r="I358" i="1"/>
  <c r="P342" i="1"/>
  <c r="L342" i="1"/>
  <c r="R342" i="1"/>
  <c r="N342" i="1"/>
  <c r="J342" i="1"/>
  <c r="Q47" i="1"/>
  <c r="M47" i="1"/>
  <c r="I47" i="1"/>
  <c r="H93" i="1" l="1"/>
  <c r="R245" i="1"/>
  <c r="Q245" i="1"/>
  <c r="K443" i="1"/>
  <c r="K438" i="1"/>
  <c r="J438" i="1"/>
  <c r="K441" i="1"/>
  <c r="K437" i="1"/>
  <c r="J437" i="1"/>
  <c r="J93" i="1"/>
  <c r="R93" i="1"/>
  <c r="Q93" i="1"/>
  <c r="P93" i="1"/>
  <c r="O93" i="1"/>
  <c r="N93" i="1"/>
  <c r="M441" i="1"/>
  <c r="M93" i="1"/>
  <c r="L93" i="1"/>
  <c r="L436" i="1" s="1"/>
  <c r="K93" i="1"/>
  <c r="J245" i="1"/>
  <c r="J46" i="1"/>
  <c r="I93" i="1"/>
  <c r="R46" i="1"/>
  <c r="Q46" i="1"/>
  <c r="P245" i="1"/>
  <c r="P46" i="1"/>
  <c r="O245" i="1"/>
  <c r="O46" i="1"/>
  <c r="N46" i="1"/>
  <c r="N245" i="1"/>
  <c r="M245" i="1"/>
  <c r="M46" i="1"/>
  <c r="L245" i="1"/>
  <c r="L442" i="1" s="1"/>
  <c r="L46" i="1"/>
  <c r="L435" i="1" s="1"/>
  <c r="K245" i="1"/>
  <c r="K46" i="1"/>
  <c r="I245" i="1"/>
  <c r="I46" i="1"/>
  <c r="H245" i="1"/>
  <c r="H46" i="1"/>
  <c r="K403" i="1"/>
  <c r="J403" i="1"/>
  <c r="H403" i="1"/>
  <c r="G403" i="1"/>
  <c r="M403" i="1"/>
  <c r="L403" i="1"/>
  <c r="R45" i="1" l="1"/>
  <c r="K442" i="1"/>
  <c r="K436" i="1"/>
  <c r="K435" i="1"/>
  <c r="J436" i="1"/>
  <c r="J435" i="1"/>
  <c r="I435" i="1"/>
  <c r="H435" i="1"/>
  <c r="J45" i="1"/>
  <c r="I372" i="1"/>
  <c r="I45" i="1"/>
  <c r="M45" i="1"/>
  <c r="M372" i="1"/>
  <c r="K372" i="1"/>
  <c r="K45" i="1"/>
  <c r="R372" i="1"/>
  <c r="L45" i="1"/>
  <c r="L372" i="1"/>
  <c r="N45" i="1"/>
  <c r="N372" i="1"/>
  <c r="O45" i="1"/>
  <c r="O372" i="1"/>
  <c r="P372" i="1"/>
  <c r="P45" i="1"/>
  <c r="H372" i="1"/>
  <c r="H45" i="1"/>
  <c r="Q45" i="1"/>
  <c r="Q372" i="1"/>
  <c r="J372" i="1"/>
  <c r="M442" i="1"/>
  <c r="T76" i="1"/>
  <c r="R374" i="1" l="1"/>
  <c r="H374" i="1"/>
  <c r="N374" i="1"/>
  <c r="Q392" i="1"/>
  <c r="T158" i="1"/>
  <c r="T200" i="1" l="1"/>
  <c r="E27" i="3"/>
  <c r="E26" i="3" s="1"/>
  <c r="H439" i="1" l="1"/>
  <c r="S17" i="1"/>
  <c r="S190" i="1"/>
  <c r="V202" i="1" l="1"/>
  <c r="S201" i="1"/>
  <c r="U202" i="1"/>
  <c r="S200" i="1" l="1"/>
  <c r="S211" i="1"/>
  <c r="S24" i="1"/>
  <c r="S21" i="1"/>
  <c r="S20" i="1"/>
  <c r="S299" i="1"/>
  <c r="U299" i="1" l="1"/>
  <c r="V21" i="1"/>
  <c r="V24" i="1"/>
  <c r="S22" i="1"/>
  <c r="S19" i="1"/>
  <c r="V20" i="1"/>
  <c r="S265" i="1"/>
  <c r="S266" i="1"/>
  <c r="S267" i="1"/>
  <c r="S268" i="1"/>
  <c r="S269" i="1"/>
  <c r="V22" i="1" l="1"/>
  <c r="V19" i="1"/>
  <c r="V267" i="1"/>
  <c r="V268" i="1"/>
  <c r="V266" i="1"/>
  <c r="S311" i="1"/>
  <c r="V311" i="1" l="1"/>
  <c r="V269" i="1"/>
  <c r="T240" i="1" l="1"/>
  <c r="T237" i="1"/>
  <c r="T189" i="1"/>
  <c r="T187" i="1"/>
  <c r="T181" i="1"/>
  <c r="T173" i="1"/>
  <c r="T162" i="1"/>
  <c r="T150" i="1"/>
  <c r="T137" i="1"/>
  <c r="T129" i="1"/>
  <c r="T119" i="1"/>
  <c r="T106" i="1"/>
  <c r="T101" i="1"/>
  <c r="T97" i="1"/>
  <c r="T94" i="1"/>
  <c r="T62" i="1"/>
  <c r="T59" i="1"/>
  <c r="T210" i="1" l="1"/>
  <c r="T47" i="1"/>
  <c r="T186" i="1"/>
  <c r="T167" i="1"/>
  <c r="T93" i="1" l="1"/>
  <c r="S135" i="1" l="1"/>
  <c r="S134" i="1"/>
  <c r="U134" i="1" s="1"/>
  <c r="S133" i="1"/>
  <c r="S132" i="1"/>
  <c r="S131" i="1"/>
  <c r="S130" i="1"/>
  <c r="U135" i="1" l="1"/>
  <c r="G137" i="1"/>
  <c r="T74" i="1" l="1"/>
  <c r="V247" i="1"/>
  <c r="T46" i="1" l="1"/>
  <c r="H442" i="1"/>
  <c r="G101" i="1" l="1"/>
  <c r="H443" i="1" l="1"/>
  <c r="H438" i="1"/>
  <c r="H441" i="1"/>
  <c r="H437" i="1"/>
  <c r="H436" i="1"/>
  <c r="S312" i="1" l="1"/>
  <c r="U312" i="1" l="1"/>
  <c r="V312" i="1"/>
  <c r="S235" i="1"/>
  <c r="V235" i="1" l="1"/>
  <c r="R403" i="1" l="1"/>
  <c r="R415" i="1"/>
  <c r="Q403" i="1"/>
  <c r="Q415" i="1"/>
  <c r="Q417" i="1" l="1"/>
  <c r="R417" i="1"/>
  <c r="E38" i="3" l="1"/>
  <c r="O403" i="1" l="1"/>
  <c r="O415" i="1"/>
  <c r="O417" i="1" l="1"/>
  <c r="N415" i="1" l="1"/>
  <c r="N403" i="1"/>
  <c r="N417" i="1" l="1"/>
  <c r="M415" i="1" l="1"/>
  <c r="M417" i="1" l="1"/>
  <c r="S86" i="1"/>
  <c r="S81" i="1"/>
  <c r="V81" i="1" l="1"/>
  <c r="V86" i="1"/>
  <c r="L415" i="1"/>
  <c r="L417" i="1" l="1"/>
  <c r="S89" i="1" l="1"/>
  <c r="S88" i="1"/>
  <c r="S87" i="1"/>
  <c r="S85" i="1"/>
  <c r="S84" i="1"/>
  <c r="S83" i="1"/>
  <c r="U83" i="1" s="1"/>
  <c r="S80" i="1"/>
  <c r="S79" i="1"/>
  <c r="S78" i="1"/>
  <c r="S77" i="1"/>
  <c r="U87" i="1" l="1"/>
  <c r="V88" i="1"/>
  <c r="V80" i="1"/>
  <c r="V84" i="1"/>
  <c r="V85" i="1"/>
  <c r="V83" i="1"/>
  <c r="K415" i="1" l="1"/>
  <c r="K417" i="1" l="1"/>
  <c r="S82" i="1" l="1"/>
  <c r="J415" i="1" l="1"/>
  <c r="J417" i="1" l="1"/>
  <c r="S239" i="1" l="1"/>
  <c r="U239" i="1" s="1"/>
  <c r="I415" i="1" l="1"/>
  <c r="H415" i="1"/>
  <c r="H417" i="1" l="1"/>
  <c r="I417" i="1"/>
  <c r="S332" i="1"/>
  <c r="S333" i="1"/>
  <c r="S289" i="1"/>
  <c r="V289" i="1" l="1"/>
  <c r="V333" i="1"/>
  <c r="V332" i="1"/>
  <c r="E34" i="3" l="1"/>
  <c r="E33" i="3"/>
  <c r="E21" i="3"/>
  <c r="E19" i="3"/>
  <c r="E13" i="3"/>
  <c r="E12" i="3"/>
  <c r="G415" i="1" l="1"/>
  <c r="G417" i="1" l="1"/>
  <c r="S109" i="1"/>
  <c r="S364" i="1"/>
  <c r="U201" i="1" l="1"/>
  <c r="V201" i="1"/>
  <c r="F27" i="3"/>
  <c r="V200" i="1"/>
  <c r="G439" i="1"/>
  <c r="R439" i="1"/>
  <c r="Q439" i="1"/>
  <c r="P439" i="1"/>
  <c r="O439" i="1"/>
  <c r="N439" i="1"/>
  <c r="G27" i="3" l="1"/>
  <c r="F26" i="3"/>
  <c r="G26" i="3" s="1"/>
  <c r="U200" i="1"/>
  <c r="E18" i="3"/>
  <c r="E20" i="3"/>
  <c r="E17" i="3" l="1"/>
  <c r="E8" i="3"/>
  <c r="G213" i="1" l="1"/>
  <c r="T369" i="1"/>
  <c r="V246" i="1"/>
  <c r="G369" i="1"/>
  <c r="G348" i="1"/>
  <c r="G343" i="1"/>
  <c r="G336" i="1"/>
  <c r="G295" i="1"/>
  <c r="G250" i="1"/>
  <c r="T246" i="1"/>
  <c r="S246" i="1"/>
  <c r="G246" i="1"/>
  <c r="E48" i="3" l="1"/>
  <c r="G342" i="1"/>
  <c r="G248" i="1"/>
  <c r="G245" i="1" l="1"/>
  <c r="T355" i="1"/>
  <c r="T348" i="1"/>
  <c r="T343" i="1"/>
  <c r="E37" i="3"/>
  <c r="E36" i="3"/>
  <c r="E35" i="3"/>
  <c r="T183" i="1"/>
  <c r="E15" i="3"/>
  <c r="G355" i="1"/>
  <c r="T180" i="1" l="1"/>
  <c r="I443" i="1"/>
  <c r="I442" i="1"/>
  <c r="T358" i="1"/>
  <c r="T342" i="1"/>
  <c r="E43" i="3"/>
  <c r="E42" i="3"/>
  <c r="T354" i="1"/>
  <c r="G358" i="1"/>
  <c r="G354" i="1"/>
  <c r="J442" i="1"/>
  <c r="G442" i="1"/>
  <c r="E16" i="3"/>
  <c r="E14" i="3" s="1"/>
  <c r="E31" i="3"/>
  <c r="R443" i="1"/>
  <c r="G240" i="1"/>
  <c r="G237" i="1"/>
  <c r="G234" i="1"/>
  <c r="G189" i="1"/>
  <c r="G187" i="1"/>
  <c r="G183" i="1"/>
  <c r="G181" i="1"/>
  <c r="G158" i="1"/>
  <c r="G150" i="1"/>
  <c r="G142" i="1"/>
  <c r="G129" i="1"/>
  <c r="G119" i="1"/>
  <c r="G106" i="1"/>
  <c r="G97" i="1"/>
  <c r="G94" i="1"/>
  <c r="G90" i="1"/>
  <c r="G76" i="1"/>
  <c r="G65" i="1"/>
  <c r="G62" i="1"/>
  <c r="G59" i="1"/>
  <c r="T28" i="1"/>
  <c r="T16" i="1"/>
  <c r="G47" i="1" l="1"/>
  <c r="T15" i="1"/>
  <c r="G186" i="1"/>
  <c r="G443" i="1"/>
  <c r="R442" i="1"/>
  <c r="Q443" i="1"/>
  <c r="N443" i="1"/>
  <c r="M443" i="1"/>
  <c r="E41" i="3"/>
  <c r="P443" i="1"/>
  <c r="E47" i="3"/>
  <c r="E46" i="3"/>
  <c r="E45" i="3" s="1"/>
  <c r="E44" i="3" s="1"/>
  <c r="O443" i="1"/>
  <c r="N442" i="1"/>
  <c r="J443" i="1"/>
  <c r="I438" i="1"/>
  <c r="G210" i="1"/>
  <c r="O438" i="1"/>
  <c r="E11" i="3"/>
  <c r="E10" i="3" s="1"/>
  <c r="G180" i="1"/>
  <c r="G74" i="1"/>
  <c r="T10" i="1" l="1"/>
  <c r="R441" i="1"/>
  <c r="R438" i="1"/>
  <c r="R437" i="1"/>
  <c r="R436" i="1"/>
  <c r="Q442" i="1"/>
  <c r="Q441" i="1"/>
  <c r="Q437" i="1"/>
  <c r="Q436" i="1"/>
  <c r="N441" i="1"/>
  <c r="N438" i="1"/>
  <c r="N437" i="1"/>
  <c r="N436" i="1"/>
  <c r="M436" i="1"/>
  <c r="M438" i="1"/>
  <c r="M437" i="1"/>
  <c r="I441" i="1"/>
  <c r="I437" i="1"/>
  <c r="Q438" i="1"/>
  <c r="P442" i="1"/>
  <c r="P438" i="1"/>
  <c r="P441" i="1"/>
  <c r="P437" i="1"/>
  <c r="O436" i="1"/>
  <c r="O437" i="1"/>
  <c r="O441" i="1"/>
  <c r="O442" i="1"/>
  <c r="G441" i="1"/>
  <c r="G438" i="1"/>
  <c r="G437" i="1"/>
  <c r="J441" i="1"/>
  <c r="I436" i="1"/>
  <c r="E9" i="3"/>
  <c r="E7" i="3" s="1"/>
  <c r="G93" i="1"/>
  <c r="S365" i="1"/>
  <c r="S363" i="1"/>
  <c r="S362" i="1"/>
  <c r="S356" i="1"/>
  <c r="S351" i="1"/>
  <c r="S350" i="1"/>
  <c r="S349" i="1"/>
  <c r="S346" i="1"/>
  <c r="S345" i="1"/>
  <c r="S340" i="1"/>
  <c r="S338" i="1"/>
  <c r="U338" i="1" s="1"/>
  <c r="S334" i="1"/>
  <c r="S331" i="1"/>
  <c r="S308" i="1"/>
  <c r="S310" i="1"/>
  <c r="S309" i="1"/>
  <c r="S300" i="1"/>
  <c r="S305" i="1"/>
  <c r="S296" i="1"/>
  <c r="S285" i="1"/>
  <c r="S293" i="1"/>
  <c r="S291" i="1"/>
  <c r="S290" i="1"/>
  <c r="S287" i="1"/>
  <c r="S273" i="1"/>
  <c r="U273" i="1" s="1"/>
  <c r="S284" i="1"/>
  <c r="S280" i="1"/>
  <c r="S282" i="1"/>
  <c r="S274" i="1"/>
  <c r="S277" i="1"/>
  <c r="S275" i="1"/>
  <c r="S278" i="1"/>
  <c r="S251" i="1"/>
  <c r="S243" i="1"/>
  <c r="S242" i="1"/>
  <c r="S241" i="1"/>
  <c r="S238" i="1"/>
  <c r="S236" i="1"/>
  <c r="S234" i="1" s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188" i="1"/>
  <c r="S161" i="1"/>
  <c r="S160" i="1"/>
  <c r="S159" i="1"/>
  <c r="S157" i="1"/>
  <c r="S156" i="1"/>
  <c r="S155" i="1"/>
  <c r="S154" i="1"/>
  <c r="S153" i="1"/>
  <c r="S152" i="1"/>
  <c r="S151" i="1"/>
  <c r="S149" i="1"/>
  <c r="S148" i="1"/>
  <c r="S147" i="1"/>
  <c r="S145" i="1"/>
  <c r="S144" i="1"/>
  <c r="S143" i="1"/>
  <c r="S141" i="1"/>
  <c r="U141" i="1" s="1"/>
  <c r="S140" i="1"/>
  <c r="S139" i="1"/>
  <c r="U139" i="1" s="1"/>
  <c r="S138" i="1"/>
  <c r="S136" i="1"/>
  <c r="S128" i="1"/>
  <c r="S127" i="1"/>
  <c r="U127" i="1" s="1"/>
  <c r="S126" i="1"/>
  <c r="S125" i="1"/>
  <c r="S124" i="1"/>
  <c r="S123" i="1"/>
  <c r="S122" i="1"/>
  <c r="S121" i="1"/>
  <c r="S120" i="1"/>
  <c r="S118" i="1"/>
  <c r="S117" i="1"/>
  <c r="S116" i="1"/>
  <c r="S115" i="1"/>
  <c r="S114" i="1"/>
  <c r="S113" i="1"/>
  <c r="S112" i="1"/>
  <c r="S111" i="1"/>
  <c r="S110" i="1"/>
  <c r="S108" i="1"/>
  <c r="S107" i="1"/>
  <c r="S105" i="1"/>
  <c r="S104" i="1"/>
  <c r="S103" i="1"/>
  <c r="S102" i="1"/>
  <c r="S100" i="1"/>
  <c r="S99" i="1"/>
  <c r="V98" i="1"/>
  <c r="S96" i="1"/>
  <c r="S95" i="1"/>
  <c r="S91" i="1"/>
  <c r="S75" i="1"/>
  <c r="S73" i="1"/>
  <c r="S72" i="1"/>
  <c r="S71" i="1"/>
  <c r="S70" i="1"/>
  <c r="S67" i="1"/>
  <c r="S66" i="1"/>
  <c r="S63" i="1"/>
  <c r="S61" i="1"/>
  <c r="S60" i="1"/>
  <c r="S58" i="1"/>
  <c r="V58" i="1" s="1"/>
  <c r="S57" i="1"/>
  <c r="V57" i="1" s="1"/>
  <c r="S56" i="1"/>
  <c r="V56" i="1" s="1"/>
  <c r="S55" i="1"/>
  <c r="V55" i="1" s="1"/>
  <c r="S54" i="1"/>
  <c r="V54" i="1" s="1"/>
  <c r="S53" i="1"/>
  <c r="V53" i="1" s="1"/>
  <c r="S52" i="1"/>
  <c r="V52" i="1" s="1"/>
  <c r="S51" i="1"/>
  <c r="V51" i="1" s="1"/>
  <c r="S50" i="1"/>
  <c r="V50" i="1" s="1"/>
  <c r="S49" i="1"/>
  <c r="V49" i="1" s="1"/>
  <c r="S44" i="1"/>
  <c r="S43" i="1"/>
  <c r="S35" i="1"/>
  <c r="V35" i="1" s="1"/>
  <c r="S34" i="1"/>
  <c r="S32" i="1"/>
  <c r="S31" i="1"/>
  <c r="S30" i="1"/>
  <c r="S29" i="1"/>
  <c r="S27" i="1"/>
  <c r="S26" i="1"/>
  <c r="G42" i="1"/>
  <c r="G33" i="1"/>
  <c r="G28" i="1"/>
  <c r="G25" i="1"/>
  <c r="S33" i="1" l="1"/>
  <c r="V34" i="1"/>
  <c r="V33" i="1" s="1"/>
  <c r="S344" i="1"/>
  <c r="S48" i="1"/>
  <c r="U48" i="1" s="1"/>
  <c r="U91" i="1"/>
  <c r="S250" i="1"/>
  <c r="U250" i="1" s="1"/>
  <c r="U251" i="1"/>
  <c r="S324" i="1"/>
  <c r="S271" i="1"/>
  <c r="S297" i="1"/>
  <c r="U232" i="1"/>
  <c r="U363" i="1"/>
  <c r="U230" i="1"/>
  <c r="U309" i="1"/>
  <c r="U293" i="1"/>
  <c r="U44" i="1"/>
  <c r="S65" i="1"/>
  <c r="U100" i="1"/>
  <c r="U165" i="1"/>
  <c r="V67" i="1"/>
  <c r="U136" i="1"/>
  <c r="S69" i="1"/>
  <c r="V117" i="1"/>
  <c r="U168" i="1"/>
  <c r="U154" i="1"/>
  <c r="U99" i="1"/>
  <c r="U159" i="1"/>
  <c r="U164" i="1"/>
  <c r="V147" i="1"/>
  <c r="U184" i="1"/>
  <c r="V280" i="1"/>
  <c r="S361" i="1"/>
  <c r="G10" i="1"/>
  <c r="U288" i="1"/>
  <c r="V288" i="1"/>
  <c r="V251" i="1"/>
  <c r="V250" i="1" s="1"/>
  <c r="V308" i="1"/>
  <c r="U308" i="1"/>
  <c r="V140" i="1"/>
  <c r="V139" i="1"/>
  <c r="V215" i="1"/>
  <c r="V293" i="1"/>
  <c r="V141" i="1"/>
  <c r="V127" i="1"/>
  <c r="T295" i="1"/>
  <c r="R435" i="1"/>
  <c r="Q435" i="1"/>
  <c r="V63" i="1"/>
  <c r="N435" i="1"/>
  <c r="M435" i="1"/>
  <c r="M374" i="1"/>
  <c r="P436" i="1"/>
  <c r="P435" i="1"/>
  <c r="S16" i="1"/>
  <c r="V344" i="1"/>
  <c r="V349" i="1"/>
  <c r="V319" i="1"/>
  <c r="V321" i="1"/>
  <c r="V350" i="1"/>
  <c r="V346" i="1"/>
  <c r="V329" i="1"/>
  <c r="V334" i="1"/>
  <c r="V345" i="1"/>
  <c r="V351" i="1"/>
  <c r="O435" i="1"/>
  <c r="V73" i="1"/>
  <c r="V71" i="1"/>
  <c r="F19" i="3"/>
  <c r="G19" i="3" s="1"/>
  <c r="V17" i="1"/>
  <c r="V72" i="1"/>
  <c r="G436" i="1"/>
  <c r="V362" i="1"/>
  <c r="V291" i="1"/>
  <c r="V236" i="1"/>
  <c r="F34" i="3"/>
  <c r="G34" i="3" s="1"/>
  <c r="F21" i="3"/>
  <c r="G21" i="3" s="1"/>
  <c r="S129" i="1"/>
  <c r="V128" i="1"/>
  <c r="V96" i="1"/>
  <c r="V66" i="1"/>
  <c r="V32" i="1"/>
  <c r="V31" i="1"/>
  <c r="V30" i="1"/>
  <c r="V340" i="1"/>
  <c r="V287" i="1"/>
  <c r="V284" i="1"/>
  <c r="S142" i="1"/>
  <c r="S150" i="1"/>
  <c r="S137" i="1"/>
  <c r="V273" i="1"/>
  <c r="S295" i="1"/>
  <c r="S336" i="1"/>
  <c r="U336" i="1" s="1"/>
  <c r="F38" i="3"/>
  <c r="V363" i="1"/>
  <c r="V330" i="1"/>
  <c r="V305" i="1"/>
  <c r="V300" i="1"/>
  <c r="V365" i="1"/>
  <c r="V274" i="1"/>
  <c r="S76" i="1"/>
  <c r="V296" i="1"/>
  <c r="V295" i="1" s="1"/>
  <c r="V278" i="1"/>
  <c r="V331" i="1"/>
  <c r="F33" i="3"/>
  <c r="G33" i="3" s="1"/>
  <c r="F13" i="3"/>
  <c r="G13" i="3" s="1"/>
  <c r="F12" i="3"/>
  <c r="G12" i="3" s="1"/>
  <c r="U50" i="1"/>
  <c r="U51" i="1"/>
  <c r="U52" i="1"/>
  <c r="U49" i="1"/>
  <c r="V239" i="1"/>
  <c r="V265" i="1"/>
  <c r="V249" i="1"/>
  <c r="V290" i="1"/>
  <c r="V338" i="1"/>
  <c r="V336" i="1" s="1"/>
  <c r="S355" i="1"/>
  <c r="V356" i="1"/>
  <c r="S369" i="1"/>
  <c r="V370" i="1"/>
  <c r="V243" i="1"/>
  <c r="S213" i="1"/>
  <c r="V214" i="1"/>
  <c r="S187" i="1"/>
  <c r="V188" i="1"/>
  <c r="U188" i="1"/>
  <c r="U67" i="1"/>
  <c r="V364" i="1"/>
  <c r="V310" i="1"/>
  <c r="V309" i="1"/>
  <c r="V299" i="1"/>
  <c r="V320" i="1"/>
  <c r="V282" i="1"/>
  <c r="V275" i="1"/>
  <c r="V285" i="1"/>
  <c r="V277" i="1"/>
  <c r="V242" i="1"/>
  <c r="V241" i="1"/>
  <c r="U241" i="1"/>
  <c r="U238" i="1"/>
  <c r="V238" i="1"/>
  <c r="U235" i="1"/>
  <c r="V232" i="1"/>
  <c r="V230" i="1"/>
  <c r="S189" i="1"/>
  <c r="V190" i="1"/>
  <c r="U190" i="1"/>
  <c r="S183" i="1"/>
  <c r="V184" i="1"/>
  <c r="S181" i="1"/>
  <c r="V182" i="1"/>
  <c r="U182" i="1"/>
  <c r="U175" i="1"/>
  <c r="U176" i="1"/>
  <c r="U177" i="1"/>
  <c r="U174" i="1"/>
  <c r="U169" i="1"/>
  <c r="U172" i="1"/>
  <c r="U171" i="1"/>
  <c r="U166" i="1"/>
  <c r="U163" i="1"/>
  <c r="V161" i="1"/>
  <c r="U161" i="1"/>
  <c r="V160" i="1"/>
  <c r="V159" i="1"/>
  <c r="V151" i="1"/>
  <c r="V152" i="1"/>
  <c r="U152" i="1"/>
  <c r="V156" i="1"/>
  <c r="U156" i="1"/>
  <c r="V154" i="1"/>
  <c r="V155" i="1"/>
  <c r="U155" i="1"/>
  <c r="U153" i="1"/>
  <c r="V153" i="1"/>
  <c r="U157" i="1"/>
  <c r="V157" i="1"/>
  <c r="V145" i="1"/>
  <c r="U145" i="1"/>
  <c r="V143" i="1"/>
  <c r="U143" i="1"/>
  <c r="U147" i="1"/>
  <c r="V149" i="1"/>
  <c r="U149" i="1"/>
  <c r="U146" i="1"/>
  <c r="V146" i="1"/>
  <c r="V144" i="1"/>
  <c r="U144" i="1"/>
  <c r="V148" i="1"/>
  <c r="U148" i="1"/>
  <c r="U138" i="1"/>
  <c r="V138" i="1"/>
  <c r="U131" i="1"/>
  <c r="V131" i="1"/>
  <c r="V135" i="1"/>
  <c r="U132" i="1"/>
  <c r="V132" i="1"/>
  <c r="V136" i="1"/>
  <c r="U133" i="1"/>
  <c r="V133" i="1"/>
  <c r="U130" i="1"/>
  <c r="V130" i="1"/>
  <c r="V134" i="1"/>
  <c r="V122" i="1"/>
  <c r="U122" i="1"/>
  <c r="U120" i="1"/>
  <c r="V120" i="1"/>
  <c r="U124" i="1"/>
  <c r="V124" i="1"/>
  <c r="V126" i="1"/>
  <c r="U126" i="1"/>
  <c r="V123" i="1"/>
  <c r="U123" i="1"/>
  <c r="U121" i="1"/>
  <c r="V121" i="1"/>
  <c r="U125" i="1"/>
  <c r="V125" i="1"/>
  <c r="V109" i="1"/>
  <c r="V113" i="1"/>
  <c r="U113" i="1"/>
  <c r="U117" i="1"/>
  <c r="V110" i="1"/>
  <c r="U110" i="1"/>
  <c r="V114" i="1"/>
  <c r="U114" i="1"/>
  <c r="V118" i="1"/>
  <c r="U118" i="1"/>
  <c r="U107" i="1"/>
  <c r="V107" i="1"/>
  <c r="U111" i="1"/>
  <c r="V111" i="1"/>
  <c r="U115" i="1"/>
  <c r="V115" i="1"/>
  <c r="V108" i="1"/>
  <c r="U108" i="1"/>
  <c r="V112" i="1"/>
  <c r="U112" i="1"/>
  <c r="V116" i="1"/>
  <c r="U116" i="1"/>
  <c r="V103" i="1"/>
  <c r="U104" i="1"/>
  <c r="V104" i="1"/>
  <c r="U105" i="1"/>
  <c r="V105" i="1"/>
  <c r="U102" i="1"/>
  <c r="V102" i="1"/>
  <c r="U98" i="1"/>
  <c r="V99" i="1"/>
  <c r="V100" i="1"/>
  <c r="V95" i="1"/>
  <c r="U95" i="1"/>
  <c r="V91" i="1"/>
  <c r="S90" i="1"/>
  <c r="V77" i="1"/>
  <c r="U77" i="1"/>
  <c r="V89" i="1"/>
  <c r="U89" i="1"/>
  <c r="U78" i="1"/>
  <c r="V78" i="1"/>
  <c r="V82" i="1"/>
  <c r="U82" i="1"/>
  <c r="V79" i="1"/>
  <c r="U79" i="1"/>
  <c r="V87" i="1"/>
  <c r="U88" i="1"/>
  <c r="U75" i="1"/>
  <c r="V75" i="1"/>
  <c r="V68" i="1"/>
  <c r="V64" i="1"/>
  <c r="U64" i="1"/>
  <c r="V60" i="1"/>
  <c r="U60" i="1"/>
  <c r="G46" i="1"/>
  <c r="V61" i="1"/>
  <c r="U61" i="1"/>
  <c r="U54" i="1"/>
  <c r="U56" i="1"/>
  <c r="U53" i="1"/>
  <c r="U57" i="1"/>
  <c r="U58" i="1"/>
  <c r="U55" i="1"/>
  <c r="V26" i="1"/>
  <c r="U26" i="1"/>
  <c r="S42" i="1"/>
  <c r="V43" i="1"/>
  <c r="V18" i="1"/>
  <c r="V27" i="1"/>
  <c r="U27" i="1"/>
  <c r="V44" i="1"/>
  <c r="V29" i="1"/>
  <c r="S59" i="1"/>
  <c r="S97" i="1"/>
  <c r="S348" i="1"/>
  <c r="S62" i="1"/>
  <c r="S94" i="1"/>
  <c r="S158" i="1"/>
  <c r="S237" i="1"/>
  <c r="S343" i="1"/>
  <c r="S25" i="1"/>
  <c r="S28" i="1"/>
  <c r="S101" i="1"/>
  <c r="S106" i="1"/>
  <c r="S119" i="1"/>
  <c r="S240" i="1"/>
  <c r="S15" i="1" l="1"/>
  <c r="U16" i="1"/>
  <c r="U15" i="1" s="1"/>
  <c r="S47" i="1"/>
  <c r="V48" i="1"/>
  <c r="U90" i="1"/>
  <c r="V324" i="1"/>
  <c r="V297" i="1"/>
  <c r="V314" i="1"/>
  <c r="V271" i="1"/>
  <c r="U297" i="1"/>
  <c r="U271" i="1"/>
  <c r="U361" i="1"/>
  <c r="S10" i="1"/>
  <c r="V65" i="1"/>
  <c r="V69" i="1"/>
  <c r="U183" i="1"/>
  <c r="V361" i="1"/>
  <c r="S186" i="1"/>
  <c r="T248" i="1"/>
  <c r="V189" i="1"/>
  <c r="V234" i="1"/>
  <c r="V355" i="1"/>
  <c r="V187" i="1"/>
  <c r="V369" i="1"/>
  <c r="V181" i="1"/>
  <c r="V183" i="1"/>
  <c r="V213" i="1"/>
  <c r="V42" i="1"/>
  <c r="V90" i="1"/>
  <c r="S210" i="1"/>
  <c r="G435" i="1"/>
  <c r="G45" i="1"/>
  <c r="G372" i="1"/>
  <c r="V142" i="1"/>
  <c r="V25" i="1"/>
  <c r="R392" i="1"/>
  <c r="P392" i="1"/>
  <c r="O392" i="1"/>
  <c r="M392" i="1"/>
  <c r="N392" i="1"/>
  <c r="L392" i="1"/>
  <c r="S358" i="1"/>
  <c r="L374" i="1"/>
  <c r="O374" i="1"/>
  <c r="Q374" i="1"/>
  <c r="P374" i="1"/>
  <c r="V343" i="1"/>
  <c r="V348" i="1"/>
  <c r="S248" i="1"/>
  <c r="F42" i="3"/>
  <c r="F43" i="3"/>
  <c r="S354" i="1"/>
  <c r="V16" i="1"/>
  <c r="V15" i="1" s="1"/>
  <c r="F18" i="3"/>
  <c r="U158" i="1"/>
  <c r="U187" i="1"/>
  <c r="F32" i="3"/>
  <c r="U150" i="1"/>
  <c r="U129" i="1"/>
  <c r="V94" i="1"/>
  <c r="V28" i="1"/>
  <c r="F20" i="3"/>
  <c r="G20" i="3" s="1"/>
  <c r="U189" i="1"/>
  <c r="F15" i="3"/>
  <c r="G15" i="3" s="1"/>
  <c r="U162" i="1"/>
  <c r="U142" i="1"/>
  <c r="U119" i="1"/>
  <c r="U106" i="1"/>
  <c r="U101" i="1"/>
  <c r="U97" i="1"/>
  <c r="U94" i="1"/>
  <c r="S74" i="1"/>
  <c r="U65" i="1"/>
  <c r="U62" i="1"/>
  <c r="U59" i="1"/>
  <c r="F8" i="3"/>
  <c r="G8" i="3" s="1"/>
  <c r="I394" i="1"/>
  <c r="F48" i="3"/>
  <c r="U25" i="1"/>
  <c r="U173" i="1"/>
  <c r="U137" i="1"/>
  <c r="V62" i="1"/>
  <c r="F16" i="3"/>
  <c r="G16" i="3" s="1"/>
  <c r="U76" i="1"/>
  <c r="F35" i="3"/>
  <c r="G35" i="3" s="1"/>
  <c r="F37" i="3"/>
  <c r="G37" i="3" s="1"/>
  <c r="F36" i="3"/>
  <c r="V237" i="1"/>
  <c r="V129" i="1"/>
  <c r="V76" i="1"/>
  <c r="V240" i="1"/>
  <c r="U240" i="1"/>
  <c r="U237" i="1"/>
  <c r="U234" i="1"/>
  <c r="S180" i="1"/>
  <c r="U181" i="1"/>
  <c r="V158" i="1"/>
  <c r="V150" i="1"/>
  <c r="V137" i="1"/>
  <c r="V119" i="1"/>
  <c r="V106" i="1"/>
  <c r="V101" i="1"/>
  <c r="V97" i="1"/>
  <c r="V59" i="1"/>
  <c r="S342" i="1"/>
  <c r="V248" i="1" l="1"/>
  <c r="V47" i="1"/>
  <c r="U47" i="1"/>
  <c r="S46" i="1"/>
  <c r="V186" i="1"/>
  <c r="S245" i="1"/>
  <c r="V74" i="1"/>
  <c r="T245" i="1"/>
  <c r="G18" i="3"/>
  <c r="F17" i="3"/>
  <c r="G17" i="3" s="1"/>
  <c r="U358" i="1"/>
  <c r="V210" i="1"/>
  <c r="V358" i="1"/>
  <c r="V354" i="1"/>
  <c r="V180" i="1"/>
  <c r="V342" i="1"/>
  <c r="F46" i="3"/>
  <c r="F41" i="3"/>
  <c r="U74" i="1"/>
  <c r="G392" i="1"/>
  <c r="U167" i="1"/>
  <c r="S93" i="1"/>
  <c r="G374" i="1"/>
  <c r="U210" i="1"/>
  <c r="U186" i="1"/>
  <c r="U180" i="1"/>
  <c r="F14" i="3"/>
  <c r="G14" i="3" s="1"/>
  <c r="F47" i="3"/>
  <c r="G47" i="3" s="1"/>
  <c r="G36" i="3"/>
  <c r="F31" i="3"/>
  <c r="G31" i="3" s="1"/>
  <c r="U248" i="1"/>
  <c r="V46" i="1" l="1"/>
  <c r="V10" i="1"/>
  <c r="V245" i="1"/>
  <c r="H395" i="1"/>
  <c r="S45" i="1"/>
  <c r="V93" i="1"/>
  <c r="T45" i="1"/>
  <c r="S372" i="1"/>
  <c r="T372" i="1"/>
  <c r="G395" i="1"/>
  <c r="E40" i="3"/>
  <c r="E39" i="3" s="1"/>
  <c r="E50" i="3" s="1"/>
  <c r="F45" i="3"/>
  <c r="F9" i="3"/>
  <c r="G9" i="3" s="1"/>
  <c r="K374" i="1"/>
  <c r="F40" i="3"/>
  <c r="F39" i="3" s="1"/>
  <c r="K392" i="1"/>
  <c r="J392" i="1"/>
  <c r="J374" i="1"/>
  <c r="I374" i="1"/>
  <c r="I392" i="1"/>
  <c r="H392" i="1"/>
  <c r="F11" i="3"/>
  <c r="F10" i="3" s="1"/>
  <c r="G10" i="3" s="1"/>
  <c r="U93" i="1"/>
  <c r="U46" i="1"/>
  <c r="U245" i="1"/>
  <c r="U10" i="1"/>
  <c r="T5" i="1" l="1"/>
  <c r="H419" i="1"/>
  <c r="U372" i="1"/>
  <c r="V45" i="1"/>
  <c r="V372" i="1"/>
  <c r="Q395" i="1"/>
  <c r="G419" i="1"/>
  <c r="J395" i="1"/>
  <c r="G39" i="3"/>
  <c r="F44" i="3"/>
  <c r="O395" i="1"/>
  <c r="P395" i="1"/>
  <c r="G40" i="3"/>
  <c r="R395" i="1"/>
  <c r="N395" i="1"/>
  <c r="M395" i="1"/>
  <c r="L395" i="1"/>
  <c r="K395" i="1"/>
  <c r="U45" i="1"/>
  <c r="I395" i="1"/>
  <c r="G11" i="3"/>
  <c r="F7" i="3"/>
  <c r="F50" i="3" l="1"/>
  <c r="G50" i="3" s="1"/>
  <c r="K419" i="1"/>
  <c r="R419" i="1"/>
  <c r="L419" i="1"/>
  <c r="J419" i="1"/>
  <c r="I419" i="1"/>
  <c r="Q419" i="1"/>
  <c r="P419" i="1"/>
  <c r="O419" i="1"/>
  <c r="N419" i="1"/>
  <c r="M419" i="1"/>
  <c r="G7" i="3"/>
</calcChain>
</file>

<file path=xl/sharedStrings.xml><?xml version="1.0" encoding="utf-8"?>
<sst xmlns="http://schemas.openxmlformats.org/spreadsheetml/2006/main" count="1755" uniqueCount="521">
  <si>
    <t>Div. Administración y Finanzas</t>
  </si>
  <si>
    <t>Al mes de Abril 2017</t>
  </si>
  <si>
    <t>Subt.</t>
  </si>
  <si>
    <t>Ítem</t>
  </si>
  <si>
    <t>Asig.</t>
  </si>
  <si>
    <t>Subasig.</t>
  </si>
  <si>
    <t>DENOMINACIONES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</si>
  <si>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</si>
  <si>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</si>
  <si>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</si>
  <si>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</si>
  <si>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</si>
  <si>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</si>
  <si>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</si>
  <si>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</si>
  <si>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</si>
  <si>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</si>
  <si>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</si>
  <si>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</si>
  <si>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Acum.
(Ene-Dic)</t>
  </si>
  <si>
    <t>Ppto. Vigente</t>
  </si>
  <si>
    <t>% de Avance</t>
  </si>
  <si>
    <t>Saldo</t>
  </si>
  <si>
    <t>INGRESOS</t>
  </si>
  <si>
    <t>08</t>
  </si>
  <si>
    <t>OTROS INGRESOS CORRIENTES</t>
  </si>
  <si>
    <t>01</t>
  </si>
  <si>
    <t xml:space="preserve">     Recup. y reembolsos de L. Medicas</t>
  </si>
  <si>
    <t>001</t>
  </si>
  <si>
    <t>000</t>
  </si>
  <si>
    <t>Reembolso art. 4°, Ley 19.345</t>
  </si>
  <si>
    <t>S/P</t>
  </si>
  <si>
    <t>002</t>
  </si>
  <si>
    <t>Recuperación art. 12°, Ley 18.196</t>
  </si>
  <si>
    <t>02</t>
  </si>
  <si>
    <t xml:space="preserve">     Multas y sanciones pecuniarias</t>
  </si>
  <si>
    <t>Multas</t>
  </si>
  <si>
    <t>Sanciones pecuniarias</t>
  </si>
  <si>
    <t xml:space="preserve">Otros  </t>
  </si>
  <si>
    <t>09</t>
  </si>
  <si>
    <t>APORTE FISCAL</t>
  </si>
  <si>
    <t>Remuneraciones</t>
  </si>
  <si>
    <t>Resto</t>
  </si>
  <si>
    <t>VENTAS DE ACTIVOS NO FINANCIEROS</t>
  </si>
  <si>
    <t>03</t>
  </si>
  <si>
    <t>Vehículo</t>
  </si>
  <si>
    <t>04</t>
  </si>
  <si>
    <t>Mobiliarios y otros</t>
  </si>
  <si>
    <t>05</t>
  </si>
  <si>
    <t>Maquinas y Equipos</t>
  </si>
  <si>
    <t>06</t>
  </si>
  <si>
    <t>Equipos Informáticos</t>
  </si>
  <si>
    <t>RECUPERACION DE PRESTAMOS</t>
  </si>
  <si>
    <t>Ingresos por percibir</t>
  </si>
  <si>
    <t xml:space="preserve">ENDEUDAMIENTO </t>
  </si>
  <si>
    <t>Endeudamiento interno</t>
  </si>
  <si>
    <t>00</t>
  </si>
  <si>
    <t>SALDO INICIAL DE CAJA</t>
  </si>
  <si>
    <t>GASTOS</t>
  </si>
  <si>
    <t/>
  </si>
  <si>
    <t>GASTOS EN PERSONAL</t>
  </si>
  <si>
    <t>PERSONAL DE PLANTA   ( FISCALES )</t>
  </si>
  <si>
    <t xml:space="preserve">      Sueldos y Sobresueldos</t>
  </si>
  <si>
    <t>003</t>
  </si>
  <si>
    <t>004</t>
  </si>
  <si>
    <t>008</t>
  </si>
  <si>
    <t>012</t>
  </si>
  <si>
    <t>033</t>
  </si>
  <si>
    <t>034</t>
  </si>
  <si>
    <t>039</t>
  </si>
  <si>
    <t>999</t>
  </si>
  <si>
    <t xml:space="preserve">      Aporte del Empleador</t>
  </si>
  <si>
    <t xml:space="preserve">      Asignación por Desempeño</t>
  </si>
  <si>
    <t>Remuneraciones Variables</t>
  </si>
  <si>
    <t>005</t>
  </si>
  <si>
    <t>006</t>
  </si>
  <si>
    <t>007</t>
  </si>
  <si>
    <t>Aguinaldos y Bonos</t>
  </si>
  <si>
    <t>OTRAS REMUNERACIONES (FUNCIONARIOS)</t>
  </si>
  <si>
    <t xml:space="preserve">      Honorarios a Suma Alzada</t>
  </si>
  <si>
    <t xml:space="preserve">      Remunerac. Reguladas por el Cod. del Trabajo</t>
  </si>
  <si>
    <t>010</t>
  </si>
  <si>
    <t>020</t>
  </si>
  <si>
    <t>030</t>
  </si>
  <si>
    <t>040</t>
  </si>
  <si>
    <t>050</t>
  </si>
  <si>
    <t>060</t>
  </si>
  <si>
    <t>070</t>
  </si>
  <si>
    <t>080</t>
  </si>
  <si>
    <t>085</t>
  </si>
  <si>
    <t>090</t>
  </si>
  <si>
    <t>300</t>
  </si>
  <si>
    <t xml:space="preserve">      Alumnos en Práctica</t>
  </si>
  <si>
    <t>OTROS GASTOS EN PERSONAL</t>
  </si>
  <si>
    <t>BIENES Y SERVICIOS DE CONSUMO</t>
  </si>
  <si>
    <t>Alimentos y Bebidas</t>
  </si>
  <si>
    <t>Para personas</t>
  </si>
  <si>
    <t>Para Animales</t>
  </si>
  <si>
    <t>Textiles, Vestuario y Calzado</t>
  </si>
  <si>
    <t>Textiles y acabados textiles</t>
  </si>
  <si>
    <t>Vestuarios, accesorios y prendas diversas</t>
  </si>
  <si>
    <t>Calzados</t>
  </si>
  <si>
    <t>Combustible y Lubricantes</t>
  </si>
  <si>
    <t>Para vehículos</t>
  </si>
  <si>
    <t>Para máquinas, equipos de producción, tracción y elevación</t>
  </si>
  <si>
    <t>Para calefacción</t>
  </si>
  <si>
    <t>Para otros</t>
  </si>
  <si>
    <t>Materiales de Uso o Consumo</t>
  </si>
  <si>
    <t>Materiales de oficina</t>
  </si>
  <si>
    <t>Textos y otros materiales de enseñanza</t>
  </si>
  <si>
    <t>Fertilizantes, insecticidas, fungicidas y otros</t>
  </si>
  <si>
    <t>Materiales y utiles de aseo</t>
  </si>
  <si>
    <t>Menaje para oficina, casino y otros</t>
  </si>
  <si>
    <t>009</t>
  </si>
  <si>
    <t>Insumos, repuestos y accesorios computacionales</t>
  </si>
  <si>
    <t>Materiales para mantenimiento y reparación de inmuebles</t>
  </si>
  <si>
    <t>011</t>
  </si>
  <si>
    <t>Repuestos y accesorios para mant. y reparación de vehículos</t>
  </si>
  <si>
    <t>Otros materiales, repuestos y útiles diversos</t>
  </si>
  <si>
    <t>013</t>
  </si>
  <si>
    <t>Equipos menores</t>
  </si>
  <si>
    <t>014</t>
  </si>
  <si>
    <t>Productos elaborados de cuero, caucho y plásticos</t>
  </si>
  <si>
    <t>Otros</t>
  </si>
  <si>
    <t>Servicios Básicos</t>
  </si>
  <si>
    <t>Electricidad</t>
  </si>
  <si>
    <t>Agua</t>
  </si>
  <si>
    <t>Gas</t>
  </si>
  <si>
    <t>Correo</t>
  </si>
  <si>
    <t>Telefonía fija</t>
  </si>
  <si>
    <t>Telefonía celular</t>
  </si>
  <si>
    <t>Acceso a Internet</t>
  </si>
  <si>
    <t>Enlaces de telecomunicaciones</t>
  </si>
  <si>
    <t>Mantenimiento y Reparaciones</t>
  </si>
  <si>
    <t>Mantenimiento y reparación de edificaciones</t>
  </si>
  <si>
    <t>Mantenimiento y reparación de vehículos</t>
  </si>
  <si>
    <t>Mantenimiento y reparación de mobiliarios y otros</t>
  </si>
  <si>
    <t>Mantenimiento y reparación de máquinas y equipos de oficina</t>
  </si>
  <si>
    <t>Mantenimiento y reparación de otras máquinas y equipos</t>
  </si>
  <si>
    <t>Mantenimiento y reparación de equipos informáticos</t>
  </si>
  <si>
    <t>07</t>
  </si>
  <si>
    <t>Publicidad y Difusión</t>
  </si>
  <si>
    <t>Servicios de publicidad</t>
  </si>
  <si>
    <t>Servicios de impresión</t>
  </si>
  <si>
    <t>Servicios de encuadernación y empaste</t>
  </si>
  <si>
    <t xml:space="preserve">Servicios Generales </t>
  </si>
  <si>
    <t>Servicios de aseo</t>
  </si>
  <si>
    <t>Servicios de vigilancia</t>
  </si>
  <si>
    <t>Servicios de mantención de jardines</t>
  </si>
  <si>
    <t>Pasajes, fletes y bodegajes</t>
  </si>
  <si>
    <t>Salas cunas y/o jardines infantiles</t>
  </si>
  <si>
    <t>Servicios de suscripciones y similares</t>
  </si>
  <si>
    <t>Arriendos</t>
  </si>
  <si>
    <t>Arriendo de terrenos</t>
  </si>
  <si>
    <t>Arriendo de edificios</t>
  </si>
  <si>
    <t>Arriendo de vehículos</t>
  </si>
  <si>
    <t>Arriendo de mobiliario y otros</t>
  </si>
  <si>
    <t>Arriendo de máquinas y equipos</t>
  </si>
  <si>
    <t>Arriendo de equipos informáticos</t>
  </si>
  <si>
    <t>10</t>
  </si>
  <si>
    <t>Servicios Financieros y de Seguros</t>
  </si>
  <si>
    <t>Primas y gastos de seguros</t>
  </si>
  <si>
    <t>Servicios de giros y remesas</t>
  </si>
  <si>
    <t>11</t>
  </si>
  <si>
    <t>Servicios Técnicos y Profesionales</t>
  </si>
  <si>
    <t>Estudios e investigaciones</t>
  </si>
  <si>
    <t>Cursos de capacitación</t>
  </si>
  <si>
    <t>Servicios informáticos</t>
  </si>
  <si>
    <t>12</t>
  </si>
  <si>
    <t>Otros Gastos en Bienes y Servicio de Consumo</t>
  </si>
  <si>
    <t>Gastos menores</t>
  </si>
  <si>
    <t>Gastos de representación, protocolo y ceremonial</t>
  </si>
  <si>
    <t>Derechos y tasas</t>
  </si>
  <si>
    <t>Contribuciones</t>
  </si>
  <si>
    <t>0100</t>
  </si>
  <si>
    <t>Otros (víctimas y testigos)</t>
  </si>
  <si>
    <t>0200</t>
  </si>
  <si>
    <t>Otros (peritajes privados)</t>
  </si>
  <si>
    <t>0300</t>
  </si>
  <si>
    <t>0400</t>
  </si>
  <si>
    <t>Otros (peritajes ADN)</t>
  </si>
  <si>
    <t>PRESTACIONES DE SEGURIDAD SOCIAL</t>
  </si>
  <si>
    <t>Prestaciones Soc. del empleador</t>
  </si>
  <si>
    <t>Indemnización con cargo de Fiscalía</t>
  </si>
  <si>
    <t>TRANSFERENCIAS CORRIENTES</t>
  </si>
  <si>
    <t>Transferencia cte. al sector privado</t>
  </si>
  <si>
    <t>Transferencia cte. al sector privado (Becas)</t>
  </si>
  <si>
    <t>Al Gobierno Central</t>
  </si>
  <si>
    <t>Programa de coordinación reforma judicial</t>
  </si>
  <si>
    <t>ADQUISICIÓN DE ACTIVOS NO FINANCIEROS</t>
  </si>
  <si>
    <t>Terrenos</t>
  </si>
  <si>
    <t>Edificios</t>
  </si>
  <si>
    <t>Por distribuir</t>
  </si>
  <si>
    <t>Adquisición Fiscalía Regional de Antofagasta</t>
  </si>
  <si>
    <t>Adquisición Fiscalía Regional de Copiapó</t>
  </si>
  <si>
    <t>Adquisición Fiscalía Regional y Local de Valparaíso</t>
  </si>
  <si>
    <t>Adquisición Fiscalía Regional de Punta Arenas</t>
  </si>
  <si>
    <t>Adquisición Fiscalía Local de Arica</t>
  </si>
  <si>
    <t>Adquisición Fiscalía Local de Pozo Almonte</t>
  </si>
  <si>
    <t>Adquisición Fiscalía Local de Illapel</t>
  </si>
  <si>
    <t>Adquisición Fiscalía Local de San Antonio</t>
  </si>
  <si>
    <t>Adquisición Fiscalía Local de Bulnes</t>
  </si>
  <si>
    <t>Adquisición FL y FR Metropolitana Sur</t>
  </si>
  <si>
    <t>Adquisición Fiscalía Local de Puerto Varas</t>
  </si>
  <si>
    <t>021</t>
  </si>
  <si>
    <t>Adquisición Fiscalía Local de Angol</t>
  </si>
  <si>
    <t>Vehículos</t>
  </si>
  <si>
    <t>Mobiliario y Otros</t>
  </si>
  <si>
    <t>Máquinas y Equipos</t>
  </si>
  <si>
    <t>Máquinas y equipos de oficina</t>
  </si>
  <si>
    <t>Equipos computacionales y periféricos</t>
  </si>
  <si>
    <t>Equipos de comunicaciones para redes informáticas</t>
  </si>
  <si>
    <t>Programas Informáticos</t>
  </si>
  <si>
    <t>Programas computacionales</t>
  </si>
  <si>
    <t>Sistemas de información</t>
  </si>
  <si>
    <t>Otros Activos No Financieros</t>
  </si>
  <si>
    <t>INICIATIVAS DE INVERSIÓN</t>
  </si>
  <si>
    <t>Estudios Básicos</t>
  </si>
  <si>
    <t>Proyectos</t>
  </si>
  <si>
    <t>Gastos Administrativos</t>
  </si>
  <si>
    <t>058</t>
  </si>
  <si>
    <t>Construcción Fiscalia de Carahue</t>
  </si>
  <si>
    <t>066</t>
  </si>
  <si>
    <t>Construcción Fiscalía Local de Los Lagos</t>
  </si>
  <si>
    <t>079</t>
  </si>
  <si>
    <t>Consultorías</t>
  </si>
  <si>
    <t>30124249-0</t>
  </si>
  <si>
    <t>Construcción Fiscalía Local de Alto Hospicio</t>
  </si>
  <si>
    <t>022</t>
  </si>
  <si>
    <t>20195429-0</t>
  </si>
  <si>
    <t>063</t>
  </si>
  <si>
    <t>Ampliación Fiscalía Local de Andacollo</t>
  </si>
  <si>
    <t>071</t>
  </si>
  <si>
    <t>30066974-0</t>
  </si>
  <si>
    <t>Construcción Fiscalía Local de Talca</t>
  </si>
  <si>
    <t>073</t>
  </si>
  <si>
    <t>20184456-0</t>
  </si>
  <si>
    <t>Construcción Fiscalía Local de Cauquenes</t>
  </si>
  <si>
    <t>075</t>
  </si>
  <si>
    <t>076</t>
  </si>
  <si>
    <t>30000650-0</t>
  </si>
  <si>
    <t>Construcción y Equipamiento Fiscalía Local de Parral</t>
  </si>
  <si>
    <t>086</t>
  </si>
  <si>
    <t>Construcción Fiscalía Local de Talcahuano</t>
  </si>
  <si>
    <t>087</t>
  </si>
  <si>
    <t>Construcción Fiscalía Local de Puerto Montt</t>
  </si>
  <si>
    <t>Construcción Fiscalía Nacional</t>
  </si>
  <si>
    <t>091</t>
  </si>
  <si>
    <t>Construcción Fiscalía Local de Rio Negro</t>
  </si>
  <si>
    <t>Construcción Fiscalía Local de Castro</t>
  </si>
  <si>
    <t>Obras Civiles</t>
  </si>
  <si>
    <t>Equipamiento</t>
  </si>
  <si>
    <t>Equipos</t>
  </si>
  <si>
    <t>Otros Gastos</t>
  </si>
  <si>
    <t>Programas de Inversión</t>
  </si>
  <si>
    <t>PRESTAMOS</t>
  </si>
  <si>
    <t>Por Anticipos a Contratista</t>
  </si>
  <si>
    <t>Anticipo contratista Inicial</t>
  </si>
  <si>
    <t>Recuperación por anticipo contratistas</t>
  </si>
  <si>
    <t>TRANSFERENCIAS  DE  CAPITAL</t>
  </si>
  <si>
    <t>SERVICIO DE LA DEUDA</t>
  </si>
  <si>
    <t>Deuda  Flotante</t>
  </si>
  <si>
    <t>Operaciones del Subtítulo 21</t>
  </si>
  <si>
    <t>Operaciones del Subtítulo 22</t>
  </si>
  <si>
    <t>Operaciones del Subtítulo 29</t>
  </si>
  <si>
    <t>Operaciones del Subtítulo 31</t>
  </si>
  <si>
    <t>SALDO FINAL DE CAJA</t>
  </si>
  <si>
    <t>Saldo  final  de  caja</t>
  </si>
  <si>
    <t>Subtítulo</t>
  </si>
  <si>
    <t>Asignación</t>
  </si>
  <si>
    <t>Descripción</t>
  </si>
  <si>
    <r>
      <t xml:space="preserve">Presupuesto </t>
    </r>
    <r>
      <rPr>
        <b/>
        <u/>
        <sz val="12"/>
        <rFont val="Arial"/>
        <family val="2"/>
      </rPr>
      <t>Vigente</t>
    </r>
  </si>
  <si>
    <t>Ejecución Acumulada</t>
  </si>
  <si>
    <t>Porcentaje de Ejecución</t>
  </si>
  <si>
    <t>(%)</t>
  </si>
  <si>
    <t>Gastos en Personal</t>
  </si>
  <si>
    <t xml:space="preserve">   Remuneraciones</t>
  </si>
  <si>
    <t xml:space="preserve">   Otros </t>
  </si>
  <si>
    <t>Bienes y Servicios de Consumo</t>
  </si>
  <si>
    <t xml:space="preserve">   Operación</t>
  </si>
  <si>
    <t xml:space="preserve">   Peritajes Privados</t>
  </si>
  <si>
    <t>Prestaciones de Seguidad Social</t>
  </si>
  <si>
    <t xml:space="preserve">   Prestaciones Previsionales</t>
  </si>
  <si>
    <t xml:space="preserve">   Prestaciones Soc. del empleador</t>
  </si>
  <si>
    <t>Transferencias Corrientes</t>
  </si>
  <si>
    <t xml:space="preserve">   Al Sector privado</t>
  </si>
  <si>
    <t xml:space="preserve">       Becas</t>
  </si>
  <si>
    <t xml:space="preserve">    Al Gobierno Central</t>
  </si>
  <si>
    <t xml:space="preserve">       Programa Coordinación Reforma Judicial</t>
  </si>
  <si>
    <t>Adquisición de Activos No Financieros</t>
  </si>
  <si>
    <t xml:space="preserve">   Edificios</t>
  </si>
  <si>
    <t xml:space="preserve">   Vehículos</t>
  </si>
  <si>
    <t xml:space="preserve">   Mobiliario y Otros </t>
  </si>
  <si>
    <t xml:space="preserve">   Máquinas y Equipos </t>
  </si>
  <si>
    <t xml:space="preserve">   Equipos Informáticos </t>
  </si>
  <si>
    <t xml:space="preserve">   Programas Informáticos </t>
  </si>
  <si>
    <t>99</t>
  </si>
  <si>
    <t xml:space="preserve">   Otros activos no financieros</t>
  </si>
  <si>
    <t>Iniciativas de Inversión</t>
  </si>
  <si>
    <t xml:space="preserve">   Proyectos</t>
  </si>
  <si>
    <t xml:space="preserve">  Anticipos a contratista</t>
  </si>
  <si>
    <t xml:space="preserve">  Recuperación anticipos a contratista</t>
  </si>
  <si>
    <t>Transferencias de Capital</t>
  </si>
  <si>
    <t xml:space="preserve">   Al Gobierno Central</t>
  </si>
  <si>
    <t>Servicio de la Deuda</t>
  </si>
  <si>
    <t>Saldo Final de Caja</t>
  </si>
  <si>
    <t>Construcción Fiscalía Regional de Los Rios</t>
  </si>
  <si>
    <t>IMPUESTOS</t>
  </si>
  <si>
    <t>INTEGROS AL FISCO</t>
  </si>
  <si>
    <t>Integros al Fisco</t>
  </si>
  <si>
    <t xml:space="preserve">       Impuestos</t>
  </si>
  <si>
    <t>031</t>
  </si>
  <si>
    <t>SALDO MOV. PRESUPUESTARIO</t>
  </si>
  <si>
    <t>BANCO ESTADO</t>
  </si>
  <si>
    <t>CAJA MONEDA EXTRANJERA</t>
  </si>
  <si>
    <t>ANTICIPOS A PROVEEDORES</t>
  </si>
  <si>
    <t>ANTICIPOS A CONTRATISTAS</t>
  </si>
  <si>
    <t>ANTICIPOS A RENDIR CUENTA</t>
  </si>
  <si>
    <t>APLICACIÓN DE FONDOS EN ADM.</t>
  </si>
  <si>
    <t>ANTICIPOS PREVISIONALES</t>
  </si>
  <si>
    <t>DEUDORES POR GTOS. PAG. EN EXC</t>
  </si>
  <si>
    <t>DOCUMENTOS PROTESTADOS</t>
  </si>
  <si>
    <t>FLUCTUACIÓN DE CAMBIOS DEUDOR</t>
  </si>
  <si>
    <t>ANTICIPOS DE CLIENTES</t>
  </si>
  <si>
    <t>ADMINISTRACIÓN DE FONDOS</t>
  </si>
  <si>
    <t>DEPOSITOS PREVISIONALES</t>
  </si>
  <si>
    <t>OTRAS OBLIGACIONES FINANCIERA</t>
  </si>
  <si>
    <t>DOCUMENTOS CADUCOS</t>
  </si>
  <si>
    <t>Dif.</t>
  </si>
  <si>
    <t>Por Percibir</t>
  </si>
  <si>
    <t>115 08</t>
  </si>
  <si>
    <t>115 09</t>
  </si>
  <si>
    <t>115 10</t>
  </si>
  <si>
    <t>115 12</t>
  </si>
  <si>
    <t>115 14</t>
  </si>
  <si>
    <t>Total Por Percibir</t>
  </si>
  <si>
    <t>Por Pagar</t>
  </si>
  <si>
    <t>215 21 Gasto en personal</t>
  </si>
  <si>
    <t>215 22 Bs. Y Serv. Consumo</t>
  </si>
  <si>
    <t>215 23 Prestaciones Previsionales</t>
  </si>
  <si>
    <t>215 24 Transferencia ctes.</t>
  </si>
  <si>
    <t>215 29 Adq. De activos no financieros</t>
  </si>
  <si>
    <t>215 31  Iniciativas de Inversión</t>
  </si>
  <si>
    <t>215 32 Prestamos</t>
  </si>
  <si>
    <t>215 33 Transferencias de capital</t>
  </si>
  <si>
    <t>21534 Servicio de la deuda</t>
  </si>
  <si>
    <t>215 35 Saldo Final de Caja</t>
  </si>
  <si>
    <t>Total Por Pagar</t>
  </si>
  <si>
    <t>Neto</t>
  </si>
  <si>
    <t>Diferencia Final</t>
  </si>
  <si>
    <t>MINISTERIO PUBLICO</t>
  </si>
  <si>
    <t>EJECUCIÓN PRESUPUESTARIA ( Devengado ) en $</t>
  </si>
  <si>
    <t>Construcción Fiscalía Regional y FL Arica</t>
  </si>
  <si>
    <t xml:space="preserve">   Fondo Prestaciones a Víctimas y Testigos </t>
  </si>
  <si>
    <t>Reposición FL De Pozo Almonte</t>
  </si>
  <si>
    <t>Construcción Fiscalía Local de  Quintero</t>
  </si>
  <si>
    <t>TOTAL  $</t>
  </si>
  <si>
    <t>082</t>
  </si>
  <si>
    <t>Construcción  Fiscalia Local de Pto. Varas</t>
  </si>
  <si>
    <t>Construcción Fiscalía Local de Puerto Varas</t>
  </si>
  <si>
    <t>Diferencia</t>
  </si>
  <si>
    <t>Prestaciones Previsionales</t>
  </si>
  <si>
    <t>Proyectos por distribuir</t>
  </si>
  <si>
    <t>Subtitulo Balance de Comprobación y de Saldos (BCS vs Ejecucion Devengado)</t>
  </si>
  <si>
    <t>Otros - Devoluciones y reintegros no prov. de Impuesto</t>
  </si>
  <si>
    <t>Otros-Otros</t>
  </si>
  <si>
    <t>Rec. anticipo contratista FL Los Angeles</t>
  </si>
  <si>
    <t>Rec.anticipo contratista FL Pucon</t>
  </si>
  <si>
    <t>Rec. anticipo contratista FL Tal Tal</t>
  </si>
  <si>
    <t>Construcción Fiscalía Local de la Ligua</t>
  </si>
  <si>
    <t>Construcción Fiscalía Regional y FL de Antofagasta</t>
  </si>
  <si>
    <t>Anticipo contratista Fiscalía Local de Alto Hospicio</t>
  </si>
  <si>
    <t>024</t>
  </si>
  <si>
    <t>Construcción Fiscalía Local de Yungay</t>
  </si>
  <si>
    <t>Mejoramiento Fiscalia Local de Illapel</t>
  </si>
  <si>
    <t>versión final dia 07042022</t>
  </si>
  <si>
    <t>OTROS INTEGROS AL FISCO</t>
  </si>
  <si>
    <t xml:space="preserve">       Otros reintegros</t>
  </si>
  <si>
    <t>Reposición Fiscalía Local De Combarbalá</t>
  </si>
  <si>
    <t>067</t>
  </si>
  <si>
    <t>Reposición Con Relocalización Fiscalía Regional Metropolitana Occidente Y Fiscalía Local De Maipú - Cerrillos</t>
  </si>
  <si>
    <t>40024941-0</t>
  </si>
  <si>
    <t>20195427-0</t>
  </si>
  <si>
    <t>40011459-0</t>
  </si>
  <si>
    <t>30213122-0</t>
  </si>
  <si>
    <t>30414777-0</t>
  </si>
  <si>
    <t>30476233-0</t>
  </si>
  <si>
    <t>30038634-0</t>
  </si>
  <si>
    <t>30125093-0</t>
  </si>
  <si>
    <t>30136723-0</t>
  </si>
  <si>
    <t>30038628-0</t>
  </si>
  <si>
    <t>40008275-0</t>
  </si>
  <si>
    <t>40010362-0</t>
  </si>
  <si>
    <t>40030566-0</t>
  </si>
  <si>
    <t>OTROS GASTOS CORRIENTES</t>
  </si>
  <si>
    <t>DEVOLUCIONES</t>
  </si>
  <si>
    <t>Otros Gastos Corrientes</t>
  </si>
  <si>
    <t xml:space="preserve">       Devoluciones</t>
  </si>
  <si>
    <t>Adquisición Edificio Fiscalía Regional de Tarapacá</t>
  </si>
  <si>
    <t>015</t>
  </si>
  <si>
    <t>061</t>
  </si>
  <si>
    <t>Ampliación Fiscalía Local de Antofagasta</t>
  </si>
  <si>
    <t>069</t>
  </si>
  <si>
    <t>092</t>
  </si>
  <si>
    <t>Ampliación y Mejoramiento Fiscalía Regional de Magallanes</t>
  </si>
  <si>
    <t>Reposición Fiscalía Local de Andacollo</t>
  </si>
  <si>
    <t>Reposición Fiscalía Local de Combarbalá</t>
  </si>
  <si>
    <t>FLUCTUACIÓN DE CAMBIOS- ACREED</t>
  </si>
  <si>
    <t>084</t>
  </si>
  <si>
    <t>Anticipo contratista FL Carahue</t>
  </si>
  <si>
    <t>026</t>
  </si>
  <si>
    <t>Construcción Fiscalia de Quellon</t>
  </si>
  <si>
    <t>A Otras Entidades Públicas</t>
  </si>
  <si>
    <t>Plan Calle Sin Violencia</t>
  </si>
  <si>
    <t>Operaciones del Subtítulo 23</t>
  </si>
  <si>
    <t xml:space="preserve">     Del Gobierno Central </t>
  </si>
  <si>
    <t>Recuperación LM Fonasa</t>
  </si>
  <si>
    <t xml:space="preserve">TRANSFERENCIAS PARA GASTOS DE CAPITAL	</t>
  </si>
  <si>
    <t>Del Gobierno Central</t>
  </si>
  <si>
    <t xml:space="preserve">       Plan Calle Sin Violencia</t>
  </si>
  <si>
    <t xml:space="preserve">    A Otras entidades  Públicas</t>
  </si>
  <si>
    <t>Por Anticipos  a Contratistas</t>
  </si>
  <si>
    <t>.</t>
  </si>
  <si>
    <t>Construcción Fiscalia Local de Melipilla</t>
  </si>
  <si>
    <t>089</t>
  </si>
  <si>
    <t>Construcción Fiscalia de Castro</t>
  </si>
  <si>
    <t>Construcción Fiscalia de San Antonio</t>
  </si>
  <si>
    <t>PCSV Viaticos</t>
  </si>
  <si>
    <t>PCSV Inversión</t>
  </si>
  <si>
    <t>Mejoramiento Fiscalía Local de Bulnes</t>
  </si>
  <si>
    <t>Operaciones del Subtítulo 24</t>
  </si>
  <si>
    <t>Préstamos</t>
  </si>
  <si>
    <t>TOTAL M$</t>
  </si>
  <si>
    <t>Desahucios e indemnizaciones (Finiquitos)</t>
  </si>
  <si>
    <t xml:space="preserve">            Sueldo base</t>
  </si>
  <si>
    <t xml:space="preserve">            Asignación de antiguedad</t>
  </si>
  <si>
    <t xml:space="preserve">            Asignación profesional</t>
  </si>
  <si>
    <t xml:space="preserve">            Asignación de zona</t>
  </si>
  <si>
    <t xml:space="preserve">            Asignación de nivelación</t>
  </si>
  <si>
    <t xml:space="preserve">            Gastos de representación</t>
  </si>
  <si>
    <t xml:space="preserve">            Asignación judicial</t>
  </si>
  <si>
    <t xml:space="preserve">            Asignación de casa</t>
  </si>
  <si>
    <t xml:space="preserve">            Asignación de responsabilidad superior</t>
  </si>
  <si>
    <t xml:space="preserve">            Otras asignaciones</t>
  </si>
  <si>
    <t xml:space="preserve">              A servicio de bienestar</t>
  </si>
  <si>
    <t xml:space="preserve">              Otras cotizaciones previsionales</t>
  </si>
  <si>
    <t xml:space="preserve">              Desempeño institucional</t>
  </si>
  <si>
    <t xml:space="preserve">              Desempeño individual</t>
  </si>
  <si>
    <t xml:space="preserve">             Trabajos extraordinarios</t>
  </si>
  <si>
    <t xml:space="preserve">             Comisión de servicio en el país</t>
  </si>
  <si>
    <t xml:space="preserve">             Comisión de servicio en el extranjero</t>
  </si>
  <si>
    <t xml:space="preserve">            Aguinaldos </t>
  </si>
  <si>
    <t xml:space="preserve">            Bono escolaridad</t>
  </si>
  <si>
    <t xml:space="preserve">            Bono especial</t>
  </si>
  <si>
    <t xml:space="preserve">            Bonificación adicional al bono escolaridad</t>
  </si>
  <si>
    <t xml:space="preserve">            Aporte del empleador a servicio de bienestar</t>
  </si>
  <si>
    <t xml:space="preserve">            Aporte del empleador otras cotizaciones prev.</t>
  </si>
  <si>
    <t xml:space="preserve">            Asignación por desempeño individual</t>
  </si>
  <si>
    <t xml:space="preserve">            Asignación por desempeño institucional</t>
  </si>
  <si>
    <t xml:space="preserve">            Comisión de servicio en el país</t>
  </si>
  <si>
    <t xml:space="preserve">            Comisión de servicio en el extranjero</t>
  </si>
  <si>
    <t xml:space="preserve">            Bonos especiales</t>
  </si>
  <si>
    <t xml:space="preserve">            Remunerac. reguladas por el cod. del trabajo</t>
  </si>
  <si>
    <t xml:space="preserve">            Trabajos extraordinarios</t>
  </si>
  <si>
    <t xml:space="preserve">            Asignación de traslado</t>
  </si>
  <si>
    <t>093</t>
  </si>
  <si>
    <t>Construcción Fiscalía Local de Cabo de Hornos</t>
  </si>
  <si>
    <t>101</t>
  </si>
  <si>
    <t>Gobierno Regional del Maule</t>
  </si>
  <si>
    <t>Gobierno Regional del Arica</t>
  </si>
  <si>
    <t>Gobierno Regional del Tarapacá</t>
  </si>
  <si>
    <t>Intereses, Multas y Recargos</t>
  </si>
  <si>
    <t>MINISTERIO PÚBLICO AÑO 2026</t>
  </si>
  <si>
    <t xml:space="preserve"> </t>
  </si>
  <si>
    <t>A Organismos Internacionales</t>
  </si>
  <si>
    <t>(M$ 2026)</t>
  </si>
  <si>
    <t xml:space="preserve">    A Organismos Internacionales</t>
  </si>
  <si>
    <t>Asociacion Internacional de Fiscales</t>
  </si>
  <si>
    <t xml:space="preserve">       Asociacion Internacional de Fiscales</t>
  </si>
  <si>
    <t>Al mes de Abril de 2026</t>
  </si>
  <si>
    <t>Al mes de Abril 2026</t>
  </si>
  <si>
    <t>FONDO DE APORTE A VÍCTIMAS Y TESTIGOS - MINISTERIO PÚBLICO - MAPVT</t>
  </si>
  <si>
    <t>EJECUCIÓN ACUMULADA A ABRIL</t>
  </si>
  <si>
    <t>1. Ejecución por Subtítulo:</t>
  </si>
  <si>
    <t>Subtítulo 22</t>
  </si>
  <si>
    <t>Imputación al 22.12.999.010</t>
  </si>
  <si>
    <t>Otros de Servicios Generales por concepto de Call Center</t>
  </si>
  <si>
    <t>Servicio Traducción de lengua de señas mediante video conferencia. Familia en Linea SA</t>
  </si>
  <si>
    <t>Subtítulo 29</t>
  </si>
  <si>
    <t>Inversiones en Mobiliario, Máquinas, Equipos y Programas Informáticos</t>
  </si>
  <si>
    <t>Total</t>
  </si>
  <si>
    <t>2.  Descripción de los gastos acumulados a la fecha, según Clasificador Interno de Prestaciones por concepto de Orientación, Protección y Atención a Víctimas y Testigos del Ministerio Público.</t>
  </si>
  <si>
    <t>Tabla Doble Entrada</t>
  </si>
  <si>
    <t>Traslado de Personas</t>
  </si>
  <si>
    <t>Gastos de Alojamiento y/o Alimentación</t>
  </si>
  <si>
    <t>Atención Sicológica / Siquiátrica</t>
  </si>
  <si>
    <t>Asistencia Social</t>
  </si>
  <si>
    <t>Asistencia Médica</t>
  </si>
  <si>
    <t>Indemnización por Lucro Cesante</t>
  </si>
  <si>
    <t>Elementos de Seguridad</t>
  </si>
  <si>
    <t>Inversiones</t>
  </si>
  <si>
    <t>Totales</t>
  </si>
  <si>
    <t>TR</t>
  </si>
  <si>
    <t>HC</t>
  </si>
  <si>
    <t>SI</t>
  </si>
  <si>
    <t>SO</t>
  </si>
  <si>
    <t>AM</t>
  </si>
  <si>
    <t>LC</t>
  </si>
  <si>
    <t>ES</t>
  </si>
  <si>
    <t>OT</t>
  </si>
  <si>
    <t>EL</t>
  </si>
  <si>
    <t>Protección</t>
  </si>
  <si>
    <t>P</t>
  </si>
  <si>
    <t>Apoyo</t>
  </si>
  <si>
    <t>A</t>
  </si>
  <si>
    <t>Montos Expresados en Pesos ($)</t>
  </si>
  <si>
    <t>EJECUCIÓN MENSUAL - ABRIL</t>
  </si>
  <si>
    <t>2.  Descripción de los gastos mensuales, según Clasificador Interno de Prestaciones por concepto de Orientación, Protección y Atención a Víctimas y Testigos del Ministerio Público.</t>
  </si>
  <si>
    <t>MAPVT: Nuevo sistema denominado Módulo de Administración de Prestaciones para Víctimas y Testigos</t>
  </si>
  <si>
    <t>PCSV Honorarios</t>
  </si>
  <si>
    <t xml:space="preserve">PCSV Gtos. Ctes.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</si>
</sst>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 * #,##0_ ;_ * \-#,##0_ ;_ * &quot;-&quot;_ ;_ @_ "/>
    <numFmt numFmtId="43" formatCode="_ * #,##0.00_ ;_ * \-#,##0.00_ ;_ * &quot;-&quot;??_ ;_ @_ "/>
    <numFmt numFmtId="164" formatCode="_-&quot;$&quot;\ * #,##0.00_-;\-&quot;$&quot;\ * #,##0.00_-;_-&quot;$&quot;\ * &quot;-&quot;??_-;_-@_-"/>
    <numFmt numFmtId="165" formatCode="_-* #,##0.00_-;\-* #,##0.00_-;_-* &quot;-&quot;??_-;_-@_-"/>
    <numFmt numFmtId="166" formatCode="0.0%"/>
    <numFmt numFmtId="167" formatCode="#,##0_ ;[Red]\-#,##0\ "/>
    <numFmt numFmtId="168" formatCode="#,##0.000"/>
    <numFmt numFmtId="169" formatCode="_-* #,##0_-;\-* #,##0_-;_-* &quot;-&quot;??_-;_-@_-"/>
    <numFmt numFmtId="170" formatCode="#,##0_ ;\-#,##0\ "/>
    <numFmt numFmtId="171" formatCode="_-* #,##0.00\ &quot;€&quot;_-;\-* #,##0.00\ &quot;€&quot;_-;_-* &quot;-&quot;??\ &quot;€&quot;_-;_-@_-"/>
    <numFmt numFmtId="172" formatCode="#,###"/>
    <numFmt numFmtId="173" formatCode="&quot;€&quot;\ #,##0"/>
    <numFmt numFmtId="174" formatCode="_-&quot;$&quot;\ * #,##0_-;\-&quot;$&quot;\ * #,##0_-;_-&quot;$&quot;\ 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22"/>
      <name val="Arial"/>
      <family val="2"/>
    </font>
    <font>
      <b/>
      <u/>
      <sz val="12"/>
      <name val="Arial"/>
      <family val="2"/>
    </font>
    <font>
      <b/>
      <u/>
      <sz val="14"/>
      <name val="Arial"/>
      <family val="2"/>
    </font>
    <font>
      <b/>
      <sz val="12"/>
      <color rgb="FFFF000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8"/>
      <name val="Times New Roman"/>
      <family val="1"/>
    </font>
    <font>
      <b/>
      <sz val="10"/>
      <color rgb="FFFF000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darkUp"/>
    </fill>
    <fill>
      <patternFill patternType="darkUp">
        <bgColor indexed="9"/>
      </patternFill>
    </fill>
    <fill>
      <patternFill patternType="solid">
        <fgColor theme="3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/>
      <top/>
      <bottom/>
      <diagonal/>
    </border>
    <border>
      <left/>
      <right style="thick">
        <color theme="4"/>
      </right>
      <top/>
      <bottom/>
      <diagonal/>
    </border>
    <border>
      <left style="thick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ck">
        <color theme="4"/>
      </right>
      <top style="thin">
        <color theme="4"/>
      </top>
      <bottom style="thin">
        <color theme="4"/>
      </bottom>
      <diagonal/>
    </border>
    <border>
      <left style="thick">
        <color theme="4"/>
      </left>
      <right style="thin">
        <color theme="4"/>
      </right>
      <top style="thick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ck">
        <color theme="4"/>
      </top>
      <bottom style="thin">
        <color theme="4"/>
      </bottom>
      <diagonal/>
    </border>
    <border>
      <left style="thin">
        <color theme="4"/>
      </left>
      <right style="thick">
        <color theme="4"/>
      </right>
      <top style="thick">
        <color theme="4"/>
      </top>
      <bottom style="thin">
        <color theme="4"/>
      </bottom>
      <diagonal/>
    </border>
    <border>
      <left style="thick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ck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ck">
        <color theme="4"/>
      </top>
      <bottom style="thick">
        <color theme="4"/>
      </bottom>
      <diagonal/>
    </border>
    <border>
      <left style="thin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/>
      <right/>
      <top/>
      <bottom style="thick">
        <color theme="4"/>
      </bottom>
      <diagonal/>
    </border>
    <border>
      <left style="thick">
        <color theme="4"/>
      </left>
      <right/>
      <top style="thick">
        <color theme="4"/>
      </top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4"/>
      </right>
      <top style="thick">
        <color theme="4"/>
      </top>
      <bottom/>
      <diagonal/>
    </border>
    <border>
      <left style="thick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/>
      <right style="thin">
        <color theme="4"/>
      </right>
      <top style="thick">
        <color theme="4"/>
      </top>
      <bottom style="thick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8">
    <xf numFmtId="0" fontId="0" fillId="0" borderId="0" xfId="0"/>
    <xf numFmtId="0" fontId="3" fillId="4" borderId="1" xfId="2" applyFont="1" applyFill="1" applyBorder="1" applyAlignment="1">
      <alignment horizontal="center" vertical="center"/>
    </xf>
    <xf numFmtId="0" fontId="3" fillId="4" borderId="1" xfId="2" quotePrefix="1" applyFont="1" applyFill="1" applyBorder="1" applyAlignment="1">
      <alignment horizontal="center" vertical="center"/>
    </xf>
    <xf numFmtId="0" fontId="3" fillId="4" borderId="1" xfId="2" applyFont="1" applyFill="1" applyBorder="1" applyAlignment="1">
      <alignment vertical="center"/>
    </xf>
    <xf numFmtId="49" fontId="3" fillId="4" borderId="1" xfId="2" applyNumberFormat="1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center"/>
    </xf>
    <xf numFmtId="3" fontId="3" fillId="4" borderId="1" xfId="2" applyNumberFormat="1" applyFont="1" applyFill="1" applyBorder="1"/>
    <xf numFmtId="0" fontId="3" fillId="4" borderId="1" xfId="2" quotePrefix="1" applyFont="1" applyFill="1" applyBorder="1" applyAlignment="1">
      <alignment horizontal="center"/>
    </xf>
    <xf numFmtId="3" fontId="3" fillId="4" borderId="1" xfId="2" applyNumberFormat="1" applyFont="1" applyFill="1" applyBorder="1" applyAlignment="1">
      <alignment vertical="center"/>
    </xf>
    <xf numFmtId="3" fontId="3" fillId="0" borderId="1" xfId="2" applyNumberFormat="1" applyFont="1" applyBorder="1" applyAlignment="1">
      <alignment vertical="center"/>
    </xf>
    <xf numFmtId="3" fontId="2" fillId="0" borderId="0" xfId="2" applyNumberFormat="1"/>
    <xf numFmtId="0" fontId="3" fillId="4" borderId="2" xfId="2" quotePrefix="1" applyFont="1" applyFill="1" applyBorder="1" applyAlignment="1">
      <alignment horizontal="center" vertical="center"/>
    </xf>
    <xf numFmtId="167" fontId="3" fillId="4" borderId="1" xfId="2" applyNumberFormat="1" applyFont="1" applyFill="1" applyBorder="1" applyAlignment="1">
      <alignment horizontal="right" vertical="center"/>
    </xf>
    <xf numFmtId="0" fontId="2" fillId="0" borderId="0" xfId="2"/>
    <xf numFmtId="166" fontId="2" fillId="0" borderId="0" xfId="7" applyNumberFormat="1" applyFont="1" applyAlignment="1">
      <alignment horizontal="center"/>
    </xf>
    <xf numFmtId="3" fontId="0" fillId="0" borderId="0" xfId="0" applyNumberFormat="1"/>
    <xf numFmtId="3" fontId="2" fillId="0" borderId="0" xfId="7" applyNumberFormat="1" applyFont="1" applyAlignment="1">
      <alignment horizontal="center"/>
    </xf>
    <xf numFmtId="3" fontId="3" fillId="0" borderId="0" xfId="2" applyNumberFormat="1" applyFont="1"/>
    <xf numFmtId="0" fontId="2" fillId="0" borderId="0" xfId="0" applyFont="1" applyAlignment="1">
      <alignment vertical="center"/>
    </xf>
    <xf numFmtId="167" fontId="2" fillId="0" borderId="0" xfId="0" applyNumberFormat="1" applyFont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167" fontId="3" fillId="2" borderId="1" xfId="0" applyNumberFormat="1" applyFont="1" applyFill="1" applyBorder="1" applyAlignment="1">
      <alignment horizontal="right" vertical="center"/>
    </xf>
    <xf numFmtId="167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167" fontId="3" fillId="3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167" fontId="2" fillId="3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167" fontId="4" fillId="3" borderId="1" xfId="0" applyNumberFormat="1" applyFont="1" applyFill="1" applyBorder="1" applyAlignment="1">
      <alignment horizontal="right" vertical="center"/>
    </xf>
    <xf numFmtId="169" fontId="2" fillId="0" borderId="0" xfId="1" applyNumberFormat="1" applyFont="1" applyFill="1" applyBorder="1" applyAlignment="1" applyProtection="1">
      <alignment horizontal="right" vertical="center"/>
    </xf>
    <xf numFmtId="3" fontId="12" fillId="0" borderId="0" xfId="2" applyNumberFormat="1" applyFont="1" applyAlignment="1">
      <alignment horizontal="center" vertical="center"/>
    </xf>
    <xf numFmtId="0" fontId="13" fillId="0" borderId="0" xfId="0" applyFont="1"/>
    <xf numFmtId="0" fontId="2" fillId="0" borderId="0" xfId="2" applyAlignment="1">
      <alignment horizontal="left"/>
    </xf>
    <xf numFmtId="3" fontId="14" fillId="0" borderId="10" xfId="0" applyNumberFormat="1" applyFont="1" applyBorder="1" applyAlignment="1">
      <alignment wrapText="1"/>
    </xf>
    <xf numFmtId="0" fontId="14" fillId="0" borderId="10" xfId="0" applyFont="1" applyBorder="1" applyAlignment="1">
      <alignment wrapText="1"/>
    </xf>
    <xf numFmtId="3" fontId="15" fillId="0" borderId="10" xfId="0" applyNumberFormat="1" applyFont="1" applyBorder="1" applyAlignment="1">
      <alignment wrapText="1"/>
    </xf>
    <xf numFmtId="166" fontId="2" fillId="5" borderId="3" xfId="7" applyNumberFormat="1" applyFont="1" applyFill="1" applyBorder="1" applyAlignment="1">
      <alignment horizontal="center" vertical="center"/>
    </xf>
    <xf numFmtId="166" fontId="13" fillId="0" borderId="0" xfId="7" applyNumberFormat="1" applyFont="1" applyAlignment="1">
      <alignment horizontal="center"/>
    </xf>
    <xf numFmtId="0" fontId="13" fillId="0" borderId="10" xfId="0" applyFont="1" applyBorder="1" applyAlignment="1">
      <alignment wrapText="1"/>
    </xf>
    <xf numFmtId="167" fontId="13" fillId="0" borderId="0" xfId="0" applyNumberFormat="1" applyFont="1"/>
    <xf numFmtId="167" fontId="16" fillId="0" borderId="0" xfId="0" applyNumberFormat="1" applyFont="1"/>
    <xf numFmtId="3" fontId="13" fillId="0" borderId="0" xfId="0" applyNumberFormat="1" applyFont="1"/>
    <xf numFmtId="0" fontId="17" fillId="0" borderId="1" xfId="0" applyFont="1" applyBorder="1" applyAlignment="1">
      <alignment horizontal="center"/>
    </xf>
    <xf numFmtId="3" fontId="13" fillId="0" borderId="1" xfId="0" applyNumberFormat="1" applyFont="1" applyBorder="1"/>
    <xf numFmtId="0" fontId="17" fillId="7" borderId="1" xfId="0" applyFont="1" applyFill="1" applyBorder="1" applyAlignment="1">
      <alignment horizontal="center"/>
    </xf>
    <xf numFmtId="0" fontId="13" fillId="7" borderId="1" xfId="0" applyFont="1" applyFill="1" applyBorder="1"/>
    <xf numFmtId="41" fontId="13" fillId="0" borderId="1" xfId="8" applyFont="1" applyBorder="1"/>
    <xf numFmtId="167" fontId="2" fillId="0" borderId="0" xfId="2" applyNumberFormat="1"/>
    <xf numFmtId="167" fontId="3" fillId="0" borderId="1" xfId="2" applyNumberFormat="1" applyFont="1" applyBorder="1" applyAlignment="1">
      <alignment vertical="center"/>
    </xf>
    <xf numFmtId="166" fontId="2" fillId="4" borderId="2" xfId="7" applyNumberFormat="1" applyFont="1" applyFill="1" applyBorder="1" applyAlignment="1">
      <alignment horizontal="center"/>
    </xf>
    <xf numFmtId="166" fontId="3" fillId="0" borderId="2" xfId="7" applyNumberFormat="1" applyFont="1" applyFill="1" applyBorder="1" applyAlignment="1">
      <alignment horizontal="center" vertical="center"/>
    </xf>
    <xf numFmtId="166" fontId="2" fillId="0" borderId="2" xfId="7" applyNumberFormat="1" applyFont="1" applyFill="1" applyBorder="1" applyAlignment="1">
      <alignment horizontal="center" vertical="center"/>
    </xf>
    <xf numFmtId="166" fontId="2" fillId="4" borderId="2" xfId="7" applyNumberFormat="1" applyFont="1" applyFill="1" applyBorder="1" applyAlignment="1">
      <alignment horizontal="center" vertical="center"/>
    </xf>
    <xf numFmtId="3" fontId="14" fillId="0" borderId="1" xfId="0" applyNumberFormat="1" applyFont="1" applyBorder="1" applyAlignment="1">
      <alignment wrapText="1"/>
    </xf>
    <xf numFmtId="3" fontId="18" fillId="4" borderId="0" xfId="0" applyNumberFormat="1" applyFont="1" applyFill="1" applyAlignment="1">
      <alignment vertical="center"/>
    </xf>
    <xf numFmtId="3" fontId="19" fillId="4" borderId="0" xfId="0" applyNumberFormat="1" applyFont="1" applyFill="1" applyAlignment="1">
      <alignment vertical="center"/>
    </xf>
    <xf numFmtId="3" fontId="14" fillId="0" borderId="10" xfId="0" applyNumberFormat="1" applyFont="1" applyBorder="1" applyAlignment="1">
      <alignment horizontal="right" wrapText="1"/>
    </xf>
    <xf numFmtId="0" fontId="3" fillId="0" borderId="1" xfId="2" quotePrefix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167" fontId="3" fillId="3" borderId="4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49" fontId="3" fillId="0" borderId="1" xfId="2" quotePrefix="1" applyNumberFormat="1" applyFont="1" applyBorder="1" applyAlignment="1">
      <alignment horizontal="center" vertical="center"/>
    </xf>
    <xf numFmtId="3" fontId="14" fillId="0" borderId="14" xfId="0" applyNumberFormat="1" applyFont="1" applyBorder="1" applyAlignment="1">
      <alignment wrapText="1"/>
    </xf>
    <xf numFmtId="0" fontId="3" fillId="7" borderId="1" xfId="0" applyFont="1" applyFill="1" applyBorder="1" applyAlignment="1">
      <alignment vertical="center"/>
    </xf>
    <xf numFmtId="167" fontId="2" fillId="7" borderId="1" xfId="0" applyNumberFormat="1" applyFont="1" applyFill="1" applyBorder="1" applyAlignment="1">
      <alignment horizontal="right" vertical="center"/>
    </xf>
    <xf numFmtId="0" fontId="3" fillId="9" borderId="1" xfId="0" applyFont="1" applyFill="1" applyBorder="1" applyAlignment="1">
      <alignment vertical="center"/>
    </xf>
    <xf numFmtId="167" fontId="2" fillId="9" borderId="1" xfId="0" applyNumberFormat="1" applyFont="1" applyFill="1" applyBorder="1" applyAlignment="1">
      <alignment horizontal="right" vertical="center"/>
    </xf>
    <xf numFmtId="0" fontId="3" fillId="9" borderId="1" xfId="0" applyFont="1" applyFill="1" applyBorder="1" applyAlignment="1">
      <alignment horizontal="center" vertical="center"/>
    </xf>
    <xf numFmtId="167" fontId="3" fillId="9" borderId="1" xfId="0" applyNumberFormat="1" applyFont="1" applyFill="1" applyBorder="1" applyAlignment="1">
      <alignment horizontal="right" vertical="center"/>
    </xf>
    <xf numFmtId="167" fontId="2" fillId="9" borderId="0" xfId="0" applyNumberFormat="1" applyFont="1" applyFill="1" applyAlignment="1">
      <alignment horizontal="right" vertical="center"/>
    </xf>
    <xf numFmtId="3" fontId="14" fillId="0" borderId="15" xfId="0" applyNumberFormat="1" applyFont="1" applyBorder="1" applyAlignment="1">
      <alignment wrapText="1"/>
    </xf>
    <xf numFmtId="0" fontId="14" fillId="0" borderId="0" xfId="0" applyFont="1"/>
    <xf numFmtId="166" fontId="14" fillId="0" borderId="0" xfId="7" applyNumberFormat="1" applyFont="1" applyAlignment="1">
      <alignment horizontal="center"/>
    </xf>
    <xf numFmtId="3" fontId="14" fillId="0" borderId="0" xfId="0" applyNumberFormat="1" applyFont="1"/>
    <xf numFmtId="0" fontId="17" fillId="7" borderId="1" xfId="0" applyFont="1" applyFill="1" applyBorder="1" applyAlignment="1">
      <alignment horizontal="left"/>
    </xf>
    <xf numFmtId="0" fontId="17" fillId="0" borderId="0" xfId="0" applyFont="1"/>
    <xf numFmtId="170" fontId="14" fillId="0" borderId="10" xfId="8" applyNumberFormat="1" applyFont="1" applyBorder="1" applyAlignment="1">
      <alignment wrapText="1"/>
    </xf>
    <xf numFmtId="0" fontId="3" fillId="0" borderId="4" xfId="2" quotePrefix="1" applyFont="1" applyBorder="1" applyAlignment="1">
      <alignment horizontal="center" vertical="center"/>
    </xf>
    <xf numFmtId="49" fontId="3" fillId="0" borderId="4" xfId="2" applyNumberFormat="1" applyFont="1" applyBorder="1" applyAlignment="1">
      <alignment horizontal="center" vertical="center"/>
    </xf>
    <xf numFmtId="0" fontId="13" fillId="0" borderId="16" xfId="0" applyFont="1" applyBorder="1" applyAlignment="1">
      <alignment wrapText="1"/>
    </xf>
    <xf numFmtId="167" fontId="2" fillId="0" borderId="7" xfId="0" applyNumberFormat="1" applyFont="1" applyBorder="1" applyAlignment="1">
      <alignment horizontal="right" vertical="center"/>
    </xf>
    <xf numFmtId="0" fontId="15" fillId="0" borderId="16" xfId="0" applyFont="1" applyBorder="1" applyAlignment="1">
      <alignment wrapText="1"/>
    </xf>
    <xf numFmtId="0" fontId="14" fillId="0" borderId="16" xfId="0" applyFont="1" applyBorder="1" applyAlignment="1">
      <alignment wrapText="1"/>
    </xf>
    <xf numFmtId="0" fontId="14" fillId="0" borderId="18" xfId="0" applyFont="1" applyBorder="1" applyAlignment="1">
      <alignment wrapText="1"/>
    </xf>
    <xf numFmtId="0" fontId="14" fillId="0" borderId="2" xfId="0" applyFont="1" applyBorder="1" applyAlignment="1">
      <alignment wrapText="1"/>
    </xf>
    <xf numFmtId="167" fontId="2" fillId="0" borderId="19" xfId="0" applyNumberFormat="1" applyFont="1" applyBorder="1" applyAlignment="1">
      <alignment horizontal="right" vertical="center"/>
    </xf>
    <xf numFmtId="167" fontId="2" fillId="0" borderId="20" xfId="0" applyNumberFormat="1" applyFont="1" applyBorder="1" applyAlignment="1">
      <alignment horizontal="right" vertical="center"/>
    </xf>
    <xf numFmtId="0" fontId="13" fillId="0" borderId="1" xfId="0" applyFont="1" applyBorder="1"/>
    <xf numFmtId="3" fontId="15" fillId="5" borderId="3" xfId="2" applyNumberFormat="1" applyFont="1" applyFill="1" applyBorder="1" applyAlignment="1">
      <alignment vertical="center"/>
    </xf>
    <xf numFmtId="167" fontId="14" fillId="0" borderId="10" xfId="0" applyNumberFormat="1" applyFont="1" applyBorder="1" applyAlignment="1">
      <alignment wrapText="1"/>
    </xf>
    <xf numFmtId="41" fontId="13" fillId="0" borderId="1" xfId="8" applyFont="1" applyFill="1" applyBorder="1"/>
    <xf numFmtId="172" fontId="14" fillId="0" borderId="10" xfId="0" applyNumberFormat="1" applyFont="1" applyBorder="1" applyAlignment="1">
      <alignment wrapText="1"/>
    </xf>
    <xf numFmtId="0" fontId="3" fillId="0" borderId="7" xfId="2" quotePrefix="1" applyFont="1" applyBorder="1" applyAlignment="1">
      <alignment horizontal="center" vertical="center"/>
    </xf>
    <xf numFmtId="0" fontId="22" fillId="0" borderId="1" xfId="0" applyFont="1" applyBorder="1"/>
    <xf numFmtId="3" fontId="14" fillId="0" borderId="17" xfId="0" applyNumberFormat="1" applyFont="1" applyBorder="1" applyAlignment="1">
      <alignment wrapText="1"/>
    </xf>
    <xf numFmtId="0" fontId="22" fillId="0" borderId="0" xfId="0" applyFont="1"/>
    <xf numFmtId="0" fontId="6" fillId="4" borderId="0" xfId="2" applyFont="1" applyFill="1" applyAlignment="1">
      <alignment horizontal="center"/>
    </xf>
    <xf numFmtId="3" fontId="6" fillId="4" borderId="0" xfId="2" applyNumberFormat="1" applyFont="1" applyFill="1" applyAlignment="1">
      <alignment horizontal="center" vertical="center" wrapText="1"/>
    </xf>
    <xf numFmtId="3" fontId="6" fillId="4" borderId="0" xfId="2" applyNumberFormat="1" applyFont="1" applyFill="1" applyAlignment="1">
      <alignment horizontal="center"/>
    </xf>
    <xf numFmtId="0" fontId="6" fillId="4" borderId="21" xfId="2" applyFont="1" applyFill="1" applyBorder="1" applyAlignment="1">
      <alignment horizontal="center"/>
    </xf>
    <xf numFmtId="0" fontId="6" fillId="4" borderId="21" xfId="2" applyFont="1" applyFill="1" applyBorder="1"/>
    <xf numFmtId="0" fontId="8" fillId="4" borderId="21" xfId="2" applyFont="1" applyFill="1" applyBorder="1" applyAlignment="1">
      <alignment horizontal="center"/>
    </xf>
    <xf numFmtId="0" fontId="8" fillId="4" borderId="21" xfId="2" applyFont="1" applyFill="1" applyBorder="1"/>
    <xf numFmtId="3" fontId="8" fillId="4" borderId="21" xfId="2" applyNumberFormat="1" applyFont="1" applyFill="1" applyBorder="1"/>
    <xf numFmtId="3" fontId="6" fillId="0" borderId="21" xfId="2" applyNumberFormat="1" applyFont="1" applyBorder="1"/>
    <xf numFmtId="3" fontId="8" fillId="0" borderId="21" xfId="2" applyNumberFormat="1" applyFont="1" applyBorder="1"/>
    <xf numFmtId="0" fontId="8" fillId="4" borderId="21" xfId="2" quotePrefix="1" applyFont="1" applyFill="1" applyBorder="1" applyAlignment="1">
      <alignment horizontal="center"/>
    </xf>
    <xf numFmtId="0" fontId="8" fillId="0" borderId="21" xfId="2" quotePrefix="1" applyFont="1" applyBorder="1" applyAlignment="1">
      <alignment horizontal="center"/>
    </xf>
    <xf numFmtId="0" fontId="8" fillId="0" borderId="21" xfId="2" applyFont="1" applyBorder="1"/>
    <xf numFmtId="0" fontId="8" fillId="4" borderId="21" xfId="2" quotePrefix="1" applyFont="1" applyFill="1" applyBorder="1" applyAlignment="1">
      <alignment horizontal="left"/>
    </xf>
    <xf numFmtId="0" fontId="6" fillId="4" borderId="21" xfId="2" quotePrefix="1" applyFont="1" applyFill="1" applyBorder="1" applyAlignment="1">
      <alignment horizontal="center"/>
    </xf>
    <xf numFmtId="0" fontId="6" fillId="4" borderId="23" xfId="2" applyFont="1" applyFill="1" applyBorder="1" applyAlignment="1">
      <alignment horizontal="center"/>
    </xf>
    <xf numFmtId="3" fontId="6" fillId="4" borderId="24" xfId="2" applyNumberFormat="1" applyFont="1" applyFill="1" applyBorder="1" applyAlignment="1">
      <alignment horizontal="center"/>
    </xf>
    <xf numFmtId="0" fontId="8" fillId="4" borderId="25" xfId="2" applyFont="1" applyFill="1" applyBorder="1" applyAlignment="1">
      <alignment horizontal="center"/>
    </xf>
    <xf numFmtId="166" fontId="8" fillId="4" borderId="26" xfId="3" applyNumberFormat="1" applyFont="1" applyFill="1" applyBorder="1" applyAlignment="1">
      <alignment horizontal="center"/>
    </xf>
    <xf numFmtId="0" fontId="6" fillId="4" borderId="25" xfId="2" applyFont="1" applyFill="1" applyBorder="1" applyAlignment="1">
      <alignment horizontal="center"/>
    </xf>
    <xf numFmtId="166" fontId="6" fillId="0" borderId="26" xfId="3" applyNumberFormat="1" applyFont="1" applyFill="1" applyBorder="1" applyAlignment="1">
      <alignment horizontal="center"/>
    </xf>
    <xf numFmtId="166" fontId="8" fillId="0" borderId="26" xfId="3" applyNumberFormat="1" applyFont="1" applyFill="1" applyBorder="1" applyAlignment="1">
      <alignment horizontal="center"/>
    </xf>
    <xf numFmtId="0" fontId="8" fillId="0" borderId="25" xfId="2" applyFont="1" applyBorder="1" applyAlignment="1">
      <alignment horizontal="center"/>
    </xf>
    <xf numFmtId="0" fontId="8" fillId="4" borderId="25" xfId="2" applyFont="1" applyFill="1" applyBorder="1"/>
    <xf numFmtId="0" fontId="6" fillId="4" borderId="30" xfId="2" applyFont="1" applyFill="1" applyBorder="1" applyAlignment="1">
      <alignment horizontal="center"/>
    </xf>
    <xf numFmtId="0" fontId="6" fillId="4" borderId="31" xfId="2" applyFont="1" applyFill="1" applyBorder="1" applyAlignment="1">
      <alignment horizontal="center"/>
    </xf>
    <xf numFmtId="0" fontId="6" fillId="4" borderId="31" xfId="2" quotePrefix="1" applyFont="1" applyFill="1" applyBorder="1" applyAlignment="1">
      <alignment horizontal="center"/>
    </xf>
    <xf numFmtId="0" fontId="6" fillId="4" borderId="31" xfId="2" applyFont="1" applyFill="1" applyBorder="1"/>
    <xf numFmtId="3" fontId="6" fillId="0" borderId="31" xfId="2" applyNumberFormat="1" applyFont="1" applyBorder="1"/>
    <xf numFmtId="168" fontId="6" fillId="0" borderId="31" xfId="2" applyNumberFormat="1" applyFont="1" applyBorder="1"/>
    <xf numFmtId="166" fontId="6" fillId="0" borderId="32" xfId="3" applyNumberFormat="1" applyFont="1" applyFill="1" applyBorder="1" applyAlignment="1">
      <alignment horizontal="center"/>
    </xf>
    <xf numFmtId="3" fontId="14" fillId="0" borderId="0" xfId="2" applyNumberFormat="1" applyFont="1"/>
    <xf numFmtId="169" fontId="14" fillId="0" borderId="0" xfId="1" applyNumberFormat="1" applyFont="1"/>
    <xf numFmtId="3" fontId="23" fillId="0" borderId="0" xfId="2" applyNumberFormat="1" applyFont="1" applyAlignment="1">
      <alignment horizontal="center" vertical="center"/>
    </xf>
    <xf numFmtId="3" fontId="15" fillId="0" borderId="0" xfId="2" applyNumberFormat="1" applyFont="1" applyAlignment="1">
      <alignment horizontal="center"/>
    </xf>
    <xf numFmtId="3" fontId="15" fillId="4" borderId="1" xfId="2" applyNumberFormat="1" applyFont="1" applyFill="1" applyBorder="1"/>
    <xf numFmtId="3" fontId="15" fillId="8" borderId="1" xfId="2" applyNumberFormat="1" applyFont="1" applyFill="1" applyBorder="1"/>
    <xf numFmtId="3" fontId="15" fillId="0" borderId="1" xfId="2" applyNumberFormat="1" applyFont="1" applyBorder="1" applyAlignment="1">
      <alignment vertical="center"/>
    </xf>
    <xf numFmtId="3" fontId="15" fillId="8" borderId="10" xfId="0" applyNumberFormat="1" applyFont="1" applyFill="1" applyBorder="1" applyAlignment="1">
      <alignment wrapText="1"/>
    </xf>
    <xf numFmtId="3" fontId="15" fillId="4" borderId="1" xfId="2" applyNumberFormat="1" applyFont="1" applyFill="1" applyBorder="1" applyAlignment="1">
      <alignment vertical="center"/>
    </xf>
    <xf numFmtId="3" fontId="14" fillId="0" borderId="7" xfId="2" applyNumberFormat="1" applyFont="1" applyBorder="1" applyAlignment="1">
      <alignment vertical="center"/>
    </xf>
    <xf numFmtId="3" fontId="14" fillId="0" borderId="1" xfId="2" applyNumberFormat="1" applyFont="1" applyBorder="1" applyAlignment="1">
      <alignment vertical="center"/>
    </xf>
    <xf numFmtId="3" fontId="15" fillId="6" borderId="1" xfId="2" applyNumberFormat="1" applyFont="1" applyFill="1" applyBorder="1" applyAlignment="1">
      <alignment vertical="center"/>
    </xf>
    <xf numFmtId="3" fontId="14" fillId="5" borderId="3" xfId="2" applyNumberFormat="1" applyFont="1" applyFill="1" applyBorder="1" applyAlignment="1">
      <alignment vertical="center"/>
    </xf>
    <xf numFmtId="0" fontId="3" fillId="11" borderId="7" xfId="2" applyFont="1" applyFill="1" applyBorder="1" applyAlignment="1">
      <alignment horizontal="center" vertical="center"/>
    </xf>
    <xf numFmtId="3" fontId="3" fillId="11" borderId="7" xfId="2" applyNumberFormat="1" applyFont="1" applyFill="1" applyBorder="1" applyAlignment="1">
      <alignment horizontal="center" vertical="center"/>
    </xf>
    <xf numFmtId="3" fontId="3" fillId="11" borderId="7" xfId="2" applyNumberFormat="1" applyFont="1" applyFill="1" applyBorder="1" applyAlignment="1">
      <alignment horizontal="center" vertical="justify"/>
    </xf>
    <xf numFmtId="3" fontId="15" fillId="11" borderId="7" xfId="2" applyNumberFormat="1" applyFont="1" applyFill="1" applyBorder="1" applyAlignment="1">
      <alignment horizontal="center" vertical="center" wrapText="1"/>
    </xf>
    <xf numFmtId="166" fontId="3" fillId="11" borderId="12" xfId="7" applyNumberFormat="1" applyFont="1" applyFill="1" applyBorder="1" applyAlignment="1">
      <alignment horizontal="center" vertical="center" wrapText="1"/>
    </xf>
    <xf numFmtId="167" fontId="3" fillId="11" borderId="1" xfId="2" applyNumberFormat="1" applyFont="1" applyFill="1" applyBorder="1" applyAlignment="1">
      <alignment horizontal="center" vertical="center" wrapText="1"/>
    </xf>
    <xf numFmtId="3" fontId="4" fillId="10" borderId="5" xfId="2" applyNumberFormat="1" applyFont="1" applyFill="1" applyBorder="1"/>
    <xf numFmtId="3" fontId="17" fillId="10" borderId="6" xfId="2" applyNumberFormat="1" applyFont="1" applyFill="1" applyBorder="1"/>
    <xf numFmtId="166" fontId="4" fillId="10" borderId="8" xfId="7" applyNumberFormat="1" applyFont="1" applyFill="1" applyBorder="1" applyAlignment="1">
      <alignment horizontal="center"/>
    </xf>
    <xf numFmtId="3" fontId="17" fillId="10" borderId="5" xfId="2" applyNumberFormat="1" applyFont="1" applyFill="1" applyBorder="1"/>
    <xf numFmtId="0" fontId="24" fillId="11" borderId="1" xfId="2" applyFont="1" applyFill="1" applyBorder="1" applyAlignment="1">
      <alignment vertical="center"/>
    </xf>
    <xf numFmtId="0" fontId="4" fillId="11" borderId="1" xfId="2" applyFont="1" applyFill="1" applyBorder="1" applyAlignment="1">
      <alignment vertical="center"/>
    </xf>
    <xf numFmtId="3" fontId="4" fillId="11" borderId="1" xfId="2" applyNumberFormat="1" applyFont="1" applyFill="1" applyBorder="1" applyAlignment="1">
      <alignment vertical="center"/>
    </xf>
    <xf numFmtId="3" fontId="17" fillId="11" borderId="1" xfId="2" applyNumberFormat="1" applyFont="1" applyFill="1" applyBorder="1" applyAlignment="1">
      <alignment vertical="center"/>
    </xf>
    <xf numFmtId="166" fontId="4" fillId="11" borderId="2" xfId="7" applyNumberFormat="1" applyFont="1" applyFill="1" applyBorder="1" applyAlignment="1">
      <alignment horizontal="center" vertical="center"/>
    </xf>
    <xf numFmtId="167" fontId="4" fillId="11" borderId="1" xfId="2" applyNumberFormat="1" applyFont="1" applyFill="1" applyBorder="1" applyAlignment="1">
      <alignment vertical="center"/>
    </xf>
    <xf numFmtId="0" fontId="3" fillId="10" borderId="8" xfId="2" applyFont="1" applyFill="1" applyBorder="1" applyAlignment="1">
      <alignment horizontal="right"/>
    </xf>
    <xf numFmtId="0" fontId="3" fillId="10" borderId="9" xfId="2" applyFont="1" applyFill="1" applyBorder="1" applyAlignment="1">
      <alignment horizontal="right"/>
    </xf>
    <xf numFmtId="0" fontId="3" fillId="10" borderId="8" xfId="2" applyFont="1" applyFill="1" applyBorder="1"/>
    <xf numFmtId="0" fontId="2" fillId="4" borderId="1" xfId="2" applyFill="1" applyBorder="1"/>
    <xf numFmtId="3" fontId="2" fillId="4" borderId="1" xfId="2" applyNumberFormat="1" applyFill="1" applyBorder="1"/>
    <xf numFmtId="167" fontId="2" fillId="4" borderId="1" xfId="2" applyNumberFormat="1" applyFill="1" applyBorder="1"/>
    <xf numFmtId="167" fontId="2" fillId="4" borderId="1" xfId="2" applyNumberFormat="1" applyFill="1" applyBorder="1" applyAlignment="1">
      <alignment horizontal="right" vertical="center"/>
    </xf>
    <xf numFmtId="0" fontId="3" fillId="10" borderId="9" xfId="2" applyFont="1" applyFill="1" applyBorder="1"/>
    <xf numFmtId="0" fontId="2" fillId="4" borderId="1" xfId="2" applyFill="1" applyBorder="1" applyAlignment="1">
      <alignment horizontal="center" vertical="center"/>
    </xf>
    <xf numFmtId="0" fontId="2" fillId="4" borderId="1" xfId="2" applyFill="1" applyBorder="1" applyAlignment="1">
      <alignment vertical="center"/>
    </xf>
    <xf numFmtId="167" fontId="2" fillId="0" borderId="1" xfId="2" applyNumberFormat="1" applyBorder="1" applyAlignment="1">
      <alignment horizontal="right" vertical="center"/>
    </xf>
    <xf numFmtId="3" fontId="2" fillId="0" borderId="1" xfId="2" applyNumberFormat="1" applyBorder="1" applyAlignment="1">
      <alignment vertical="center"/>
    </xf>
    <xf numFmtId="0" fontId="2" fillId="5" borderId="2" xfId="2" applyFill="1" applyBorder="1" applyAlignment="1">
      <alignment vertical="center"/>
    </xf>
    <xf numFmtId="0" fontId="2" fillId="5" borderId="3" xfId="2" applyFill="1" applyBorder="1" applyAlignment="1">
      <alignment vertical="center"/>
    </xf>
    <xf numFmtId="3" fontId="2" fillId="5" borderId="3" xfId="2" applyNumberFormat="1" applyFill="1" applyBorder="1" applyAlignment="1">
      <alignment vertical="center"/>
    </xf>
    <xf numFmtId="167" fontId="2" fillId="5" borderId="1" xfId="2" applyNumberFormat="1" applyFill="1" applyBorder="1" applyAlignment="1">
      <alignment horizontal="right" vertical="center"/>
    </xf>
    <xf numFmtId="3" fontId="2" fillId="0" borderId="11" xfId="2" applyNumberFormat="1" applyBorder="1" applyAlignment="1">
      <alignment vertical="center"/>
    </xf>
    <xf numFmtId="0" fontId="2" fillId="0" borderId="1" xfId="2" applyBorder="1" applyAlignment="1">
      <alignment vertical="center"/>
    </xf>
    <xf numFmtId="3" fontId="2" fillId="4" borderId="1" xfId="2" applyNumberFormat="1" applyFill="1" applyBorder="1" applyAlignment="1">
      <alignment vertical="center"/>
    </xf>
    <xf numFmtId="0" fontId="2" fillId="4" borderId="3" xfId="2" applyFill="1" applyBorder="1" applyAlignment="1">
      <alignment vertical="center"/>
    </xf>
    <xf numFmtId="0" fontId="2" fillId="0" borderId="7" xfId="2" applyBorder="1" applyAlignment="1">
      <alignment vertical="center"/>
    </xf>
    <xf numFmtId="3" fontId="2" fillId="0" borderId="7" xfId="2" applyNumberFormat="1" applyBorder="1" applyAlignment="1">
      <alignment vertical="center"/>
    </xf>
    <xf numFmtId="0" fontId="2" fillId="0" borderId="4" xfId="2" applyBorder="1" applyAlignment="1">
      <alignment vertical="center"/>
    </xf>
    <xf numFmtId="3" fontId="2" fillId="0" borderId="4" xfId="2" applyNumberFormat="1" applyBorder="1" applyAlignment="1">
      <alignment vertical="center"/>
    </xf>
    <xf numFmtId="0" fontId="2" fillId="4" borderId="1" xfId="2" quotePrefix="1" applyFill="1" applyBorder="1" applyAlignment="1">
      <alignment horizontal="center" vertical="center"/>
    </xf>
    <xf numFmtId="0" fontId="2" fillId="4" borderId="1" xfId="2" quotePrefix="1" applyFill="1" applyBorder="1" applyAlignment="1">
      <alignment horizontal="left" vertical="center"/>
    </xf>
    <xf numFmtId="49" fontId="2" fillId="4" borderId="1" xfId="2" applyNumberFormat="1" applyFill="1" applyBorder="1" applyAlignment="1">
      <alignment vertical="center"/>
    </xf>
    <xf numFmtId="167" fontId="2" fillId="0" borderId="4" xfId="2" applyNumberFormat="1" applyBorder="1" applyAlignment="1">
      <alignment horizontal="right" vertical="center"/>
    </xf>
    <xf numFmtId="0" fontId="2" fillId="6" borderId="1" xfId="2" applyFill="1" applyBorder="1" applyAlignment="1">
      <alignment vertical="center"/>
    </xf>
    <xf numFmtId="0" fontId="2" fillId="6" borderId="1" xfId="2" applyFill="1" applyBorder="1" applyAlignment="1">
      <alignment horizontal="right" vertical="center"/>
    </xf>
    <xf numFmtId="3" fontId="2" fillId="6" borderId="1" xfId="2" applyNumberFormat="1" applyFill="1" applyBorder="1" applyAlignment="1">
      <alignment vertical="center"/>
    </xf>
    <xf numFmtId="3" fontId="2" fillId="4" borderId="1" xfId="2" applyNumberFormat="1" applyFill="1" applyBorder="1" applyAlignment="1">
      <alignment horizontal="right" vertical="center"/>
    </xf>
    <xf numFmtId="3" fontId="2" fillId="0" borderId="1" xfId="2" applyNumberFormat="1" applyBorder="1" applyAlignment="1">
      <alignment horizontal="right" vertical="center"/>
    </xf>
    <xf numFmtId="3" fontId="6" fillId="11" borderId="22" xfId="2" applyNumberFormat="1" applyFont="1" applyFill="1" applyBorder="1" applyAlignment="1">
      <alignment horizontal="center" vertical="center" wrapText="1"/>
    </xf>
    <xf numFmtId="3" fontId="6" fillId="11" borderId="22" xfId="2" applyNumberFormat="1" applyFont="1" applyFill="1" applyBorder="1" applyAlignment="1">
      <alignment horizontal="center"/>
    </xf>
    <xf numFmtId="0" fontId="6" fillId="10" borderId="27" xfId="2" applyFont="1" applyFill="1" applyBorder="1" applyAlignment="1">
      <alignment horizontal="center"/>
    </xf>
    <xf numFmtId="0" fontId="6" fillId="10" borderId="28" xfId="2" applyFont="1" applyFill="1" applyBorder="1" applyAlignment="1">
      <alignment horizontal="center"/>
    </xf>
    <xf numFmtId="0" fontId="6" fillId="10" borderId="28" xfId="2" applyFont="1" applyFill="1" applyBorder="1"/>
    <xf numFmtId="3" fontId="6" fillId="10" borderId="28" xfId="2" applyNumberFormat="1" applyFont="1" applyFill="1" applyBorder="1"/>
    <xf numFmtId="166" fontId="6" fillId="10" borderId="29" xfId="3" applyNumberFormat="1" applyFont="1" applyFill="1" applyBorder="1" applyAlignment="1">
      <alignment horizontal="center"/>
    </xf>
    <xf numFmtId="0" fontId="6" fillId="10" borderId="25" xfId="2" applyFont="1" applyFill="1" applyBorder="1" applyAlignment="1">
      <alignment horizontal="center"/>
    </xf>
    <xf numFmtId="0" fontId="6" fillId="10" borderId="21" xfId="2" applyFont="1" applyFill="1" applyBorder="1" applyAlignment="1">
      <alignment horizontal="center"/>
    </xf>
    <xf numFmtId="0" fontId="6" fillId="10" borderId="21" xfId="2" applyFont="1" applyFill="1" applyBorder="1"/>
    <xf numFmtId="3" fontId="6" fillId="10" borderId="21" xfId="2" applyNumberFormat="1" applyFont="1" applyFill="1" applyBorder="1"/>
    <xf numFmtId="166" fontId="6" fillId="10" borderId="26" xfId="3" applyNumberFormat="1" applyFont="1" applyFill="1" applyBorder="1" applyAlignment="1">
      <alignment horizontal="center"/>
    </xf>
    <xf numFmtId="0" fontId="8" fillId="10" borderId="21" xfId="2" applyFont="1" applyFill="1" applyBorder="1" applyAlignment="1">
      <alignment horizontal="center"/>
    </xf>
    <xf numFmtId="0" fontId="8" fillId="10" borderId="21" xfId="2" quotePrefix="1" applyFont="1" applyFill="1" applyBorder="1" applyAlignment="1">
      <alignment horizontal="center"/>
    </xf>
    <xf numFmtId="0" fontId="6" fillId="10" borderId="21" xfId="2" quotePrefix="1" applyFont="1" applyFill="1" applyBorder="1" applyAlignment="1">
      <alignment horizontal="center"/>
    </xf>
    <xf numFmtId="3" fontId="7" fillId="11" borderId="33" xfId="2" applyNumberFormat="1" applyFont="1" applyFill="1" applyBorder="1"/>
    <xf numFmtId="166" fontId="7" fillId="11" borderId="34" xfId="3" applyNumberFormat="1" applyFont="1" applyFill="1" applyBorder="1" applyAlignment="1">
      <alignment horizontal="center"/>
    </xf>
    <xf numFmtId="0" fontId="4" fillId="10" borderId="8" xfId="2" applyFont="1" applyFill="1" applyBorder="1" applyAlignment="1">
      <alignment horizontal="center"/>
    </xf>
    <xf numFmtId="3" fontId="4" fillId="11" borderId="1" xfId="2" applyNumberFormat="1" applyFont="1" applyFill="1" applyBorder="1" applyAlignment="1">
      <alignment horizontal="center" vertical="center"/>
    </xf>
    <xf numFmtId="3" fontId="14" fillId="4" borderId="1" xfId="2" applyNumberFormat="1" applyFont="1" applyFill="1" applyBorder="1"/>
    <xf numFmtId="3" fontId="2" fillId="0" borderId="2" xfId="2" applyNumberFormat="1" applyBorder="1" applyAlignment="1">
      <alignment vertical="center"/>
    </xf>
    <xf numFmtId="3" fontId="14" fillId="0" borderId="16" xfId="0" applyNumberFormat="1" applyFont="1" applyBorder="1" applyAlignment="1">
      <alignment wrapText="1"/>
    </xf>
    <xf numFmtId="3" fontId="2" fillId="0" borderId="19" xfId="2" applyNumberFormat="1" applyBorder="1" applyAlignment="1">
      <alignment vertical="center"/>
    </xf>
    <xf numFmtId="167" fontId="4" fillId="7" borderId="1" xfId="0" applyNumberFormat="1" applyFont="1" applyFill="1" applyBorder="1" applyAlignment="1">
      <alignment horizontal="right" vertical="center"/>
    </xf>
    <xf numFmtId="3" fontId="25" fillId="0" borderId="0" xfId="2" applyNumberFormat="1" applyFont="1"/>
    <xf numFmtId="3" fontId="14" fillId="0" borderId="10" xfId="0" applyNumberFormat="1" applyFont="1" applyBorder="1" applyAlignment="1">
      <alignment vertical="center" wrapText="1"/>
    </xf>
    <xf numFmtId="172" fontId="26" fillId="0" borderId="10" xfId="0" applyNumberFormat="1" applyFont="1" applyBorder="1" applyAlignment="1">
      <alignment wrapText="1"/>
    </xf>
    <xf numFmtId="3" fontId="2" fillId="0" borderId="1" xfId="2" applyNumberFormat="1" applyBorder="1"/>
    <xf numFmtId="3" fontId="26" fillId="0" borderId="10" xfId="0" applyNumberFormat="1" applyFont="1" applyBorder="1" applyAlignment="1">
      <alignment wrapText="1"/>
    </xf>
    <xf numFmtId="3" fontId="2" fillId="0" borderId="44" xfId="2" applyNumberFormat="1" applyBorder="1" applyAlignment="1">
      <alignment vertical="center"/>
    </xf>
    <xf numFmtId="3" fontId="2" fillId="0" borderId="45" xfId="2" applyNumberFormat="1" applyBorder="1" applyAlignment="1">
      <alignment vertical="center"/>
    </xf>
    <xf numFmtId="172" fontId="14" fillId="0" borderId="1" xfId="0" applyNumberFormat="1" applyFont="1" applyBorder="1" applyAlignment="1">
      <alignment wrapText="1"/>
    </xf>
    <xf numFmtId="172" fontId="14" fillId="0" borderId="14" xfId="0" applyNumberFormat="1" applyFont="1" applyBorder="1" applyAlignment="1">
      <alignment wrapText="1"/>
    </xf>
    <xf numFmtId="3" fontId="2" fillId="0" borderId="46" xfId="2" applyNumberFormat="1" applyBorder="1" applyAlignment="1">
      <alignment vertical="center"/>
    </xf>
    <xf numFmtId="3" fontId="27" fillId="0" borderId="10" xfId="0" applyNumberFormat="1" applyFont="1" applyBorder="1" applyAlignment="1">
      <alignment wrapText="1"/>
    </xf>
    <xf numFmtId="167" fontId="15" fillId="0" borderId="1" xfId="0" applyNumberFormat="1" applyFont="1" applyBorder="1" applyAlignment="1">
      <alignment wrapText="1"/>
    </xf>
    <xf numFmtId="167" fontId="15" fillId="0" borderId="17" xfId="0" applyNumberFormat="1" applyFont="1" applyBorder="1" applyAlignment="1">
      <alignment wrapText="1"/>
    </xf>
    <xf numFmtId="167" fontId="15" fillId="0" borderId="10" xfId="0" applyNumberFormat="1" applyFont="1" applyBorder="1" applyAlignment="1">
      <alignment wrapText="1"/>
    </xf>
    <xf numFmtId="167" fontId="13" fillId="0" borderId="0" xfId="8" applyNumberFormat="1" applyFont="1"/>
    <xf numFmtId="49" fontId="3" fillId="12" borderId="4" xfId="2" applyNumberFormat="1" applyFont="1" applyFill="1" applyBorder="1" applyAlignment="1">
      <alignment horizontal="center"/>
    </xf>
    <xf numFmtId="0" fontId="3" fillId="12" borderId="4" xfId="2" applyFont="1" applyFill="1" applyBorder="1" applyAlignment="1">
      <alignment horizontal="center"/>
    </xf>
    <xf numFmtId="0" fontId="3" fillId="12" borderId="6" xfId="2" applyFont="1" applyFill="1" applyBorder="1"/>
    <xf numFmtId="3" fontId="3" fillId="12" borderId="6" xfId="2" applyNumberFormat="1" applyFont="1" applyFill="1" applyBorder="1"/>
    <xf numFmtId="166" fontId="3" fillId="12" borderId="13" xfId="7" applyNumberFormat="1" applyFont="1" applyFill="1" applyBorder="1" applyAlignment="1">
      <alignment horizontal="center"/>
    </xf>
    <xf numFmtId="167" fontId="3" fillId="12" borderId="6" xfId="2" applyNumberFormat="1" applyFont="1" applyFill="1" applyBorder="1"/>
    <xf numFmtId="0" fontId="3" fillId="0" borderId="1" xfId="2" applyFont="1" applyBorder="1" applyAlignment="1">
      <alignment vertical="center"/>
    </xf>
    <xf numFmtId="0" fontId="3" fillId="13" borderId="1" xfId="2" quotePrefix="1" applyFont="1" applyFill="1" applyBorder="1" applyAlignment="1">
      <alignment horizontal="center" vertical="center"/>
    </xf>
    <xf numFmtId="0" fontId="3" fillId="13" borderId="1" xfId="2" quotePrefix="1" applyFont="1" applyFill="1" applyBorder="1" applyAlignment="1">
      <alignment horizontal="left" vertical="center"/>
    </xf>
    <xf numFmtId="0" fontId="15" fillId="13" borderId="10" xfId="0" applyFont="1" applyFill="1" applyBorder="1" applyAlignment="1">
      <alignment wrapText="1"/>
    </xf>
    <xf numFmtId="3" fontId="3" fillId="13" borderId="1" xfId="2" applyNumberFormat="1" applyFont="1" applyFill="1" applyBorder="1" applyAlignment="1">
      <alignment vertical="center"/>
    </xf>
    <xf numFmtId="167" fontId="15" fillId="13" borderId="10" xfId="8" applyNumberFormat="1" applyFont="1" applyFill="1" applyBorder="1" applyAlignment="1">
      <alignment wrapText="1"/>
    </xf>
    <xf numFmtId="3" fontId="15" fillId="13" borderId="10" xfId="0" applyNumberFormat="1" applyFont="1" applyFill="1" applyBorder="1" applyAlignment="1">
      <alignment wrapText="1"/>
    </xf>
    <xf numFmtId="166" fontId="3" fillId="13" borderId="2" xfId="7" applyNumberFormat="1" applyFont="1" applyFill="1" applyBorder="1" applyAlignment="1">
      <alignment horizontal="center" vertical="center"/>
    </xf>
    <xf numFmtId="167" fontId="3" fillId="13" borderId="1" xfId="2" applyNumberFormat="1" applyFont="1" applyFill="1" applyBorder="1" applyAlignment="1">
      <alignment horizontal="right" vertical="center"/>
    </xf>
    <xf numFmtId="3" fontId="15" fillId="13" borderId="1" xfId="2" applyNumberFormat="1" applyFont="1" applyFill="1" applyBorder="1" applyAlignment="1">
      <alignment vertical="center"/>
    </xf>
    <xf numFmtId="166" fontId="2" fillId="13" borderId="2" xfId="7" applyNumberFormat="1" applyFont="1" applyFill="1" applyBorder="1" applyAlignment="1">
      <alignment horizontal="center" vertical="center"/>
    </xf>
    <xf numFmtId="167" fontId="3" fillId="13" borderId="1" xfId="2" applyNumberFormat="1" applyFont="1" applyFill="1" applyBorder="1" applyAlignment="1">
      <alignment vertical="center"/>
    </xf>
    <xf numFmtId="49" fontId="3" fillId="13" borderId="1" xfId="2" applyNumberFormat="1" applyFont="1" applyFill="1" applyBorder="1" applyAlignment="1">
      <alignment horizontal="center" vertical="center"/>
    </xf>
    <xf numFmtId="0" fontId="3" fillId="13" borderId="1" xfId="2" applyFont="1" applyFill="1" applyBorder="1" applyAlignment="1">
      <alignment vertical="center"/>
    </xf>
    <xf numFmtId="0" fontId="2" fillId="13" borderId="1" xfId="2" applyFill="1" applyBorder="1" applyAlignment="1">
      <alignment vertical="center"/>
    </xf>
    <xf numFmtId="0" fontId="2" fillId="13" borderId="1" xfId="2" applyFill="1" applyBorder="1" applyAlignment="1">
      <alignment horizontal="right" vertical="center"/>
    </xf>
    <xf numFmtId="3" fontId="2" fillId="13" borderId="1" xfId="2" applyNumberFormat="1" applyFill="1" applyBorder="1" applyAlignment="1">
      <alignment vertical="center"/>
    </xf>
    <xf numFmtId="3" fontId="2" fillId="13" borderId="1" xfId="2" applyNumberFormat="1" applyFill="1" applyBorder="1" applyAlignment="1">
      <alignment horizontal="right" vertical="center"/>
    </xf>
    <xf numFmtId="3" fontId="3" fillId="13" borderId="1" xfId="2" applyNumberFormat="1" applyFont="1" applyFill="1" applyBorder="1" applyAlignment="1">
      <alignment horizontal="right" vertical="center"/>
    </xf>
    <xf numFmtId="0" fontId="3" fillId="13" borderId="2" xfId="2" quotePrefix="1" applyFont="1" applyFill="1" applyBorder="1" applyAlignment="1">
      <alignment horizontal="center" vertical="center"/>
    </xf>
    <xf numFmtId="0" fontId="2" fillId="13" borderId="3" xfId="2" applyFill="1" applyBorder="1" applyAlignment="1">
      <alignment vertical="center"/>
    </xf>
    <xf numFmtId="0" fontId="3" fillId="13" borderId="3" xfId="2" applyFont="1" applyFill="1" applyBorder="1" applyAlignment="1">
      <alignment vertical="center"/>
    </xf>
    <xf numFmtId="0" fontId="3" fillId="13" borderId="1" xfId="2" applyFont="1" applyFill="1" applyBorder="1" applyAlignment="1">
      <alignment horizontal="center" vertical="center"/>
    </xf>
    <xf numFmtId="0" fontId="3" fillId="13" borderId="1" xfId="2" applyFont="1" applyFill="1" applyBorder="1" applyAlignment="1">
      <alignment horizontal="left" vertical="center"/>
    </xf>
    <xf numFmtId="0" fontId="3" fillId="13" borderId="1" xfId="2" applyFont="1" applyFill="1" applyBorder="1" applyAlignment="1">
      <alignment horizontal="center"/>
    </xf>
    <xf numFmtId="0" fontId="3" fillId="13" borderId="1" xfId="2" quotePrefix="1" applyFont="1" applyFill="1" applyBorder="1" applyAlignment="1">
      <alignment horizontal="center"/>
    </xf>
    <xf numFmtId="167" fontId="2" fillId="13" borderId="1" xfId="2" applyNumberFormat="1" applyFill="1" applyBorder="1" applyAlignment="1">
      <alignment horizontal="right" vertical="center"/>
    </xf>
    <xf numFmtId="0" fontId="3" fillId="13" borderId="1" xfId="2" applyFont="1" applyFill="1" applyBorder="1"/>
    <xf numFmtId="3" fontId="3" fillId="13" borderId="1" xfId="2" applyNumberFormat="1" applyFont="1" applyFill="1" applyBorder="1"/>
    <xf numFmtId="3" fontId="15" fillId="13" borderId="1" xfId="2" applyNumberFormat="1" applyFont="1" applyFill="1" applyBorder="1"/>
    <xf numFmtId="166" fontId="3" fillId="13" borderId="2" xfId="7" applyNumberFormat="1" applyFont="1" applyFill="1" applyBorder="1" applyAlignment="1">
      <alignment horizontal="center"/>
    </xf>
    <xf numFmtId="167" fontId="3" fillId="13" borderId="1" xfId="2" applyNumberFormat="1" applyFont="1" applyFill="1" applyBorder="1"/>
    <xf numFmtId="3" fontId="15" fillId="13" borderId="14" xfId="0" applyNumberFormat="1" applyFont="1" applyFill="1" applyBorder="1" applyAlignment="1">
      <alignment wrapText="1"/>
    </xf>
    <xf numFmtId="41" fontId="14" fillId="0" borderId="10" xfId="0" applyNumberFormat="1" applyFont="1" applyBorder="1" applyAlignment="1">
      <alignment wrapText="1"/>
    </xf>
    <xf numFmtId="3" fontId="4" fillId="4" borderId="1" xfId="2" applyNumberFormat="1" applyFont="1" applyFill="1" applyBorder="1" applyAlignment="1">
      <alignment vertical="center"/>
    </xf>
    <xf numFmtId="166" fontId="2" fillId="0" borderId="1" xfId="7" applyNumberFormat="1" applyFont="1" applyFill="1" applyBorder="1" applyAlignment="1">
      <alignment horizontal="center" vertical="center"/>
    </xf>
    <xf numFmtId="41" fontId="13" fillId="0" borderId="0" xfId="8" applyFont="1" applyAlignment="1">
      <alignment horizontal="center" vertical="center"/>
    </xf>
    <xf numFmtId="41" fontId="17" fillId="0" borderId="0" xfId="8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1" fontId="13" fillId="0" borderId="0" xfId="8" applyFont="1"/>
    <xf numFmtId="41" fontId="17" fillId="0" borderId="0" xfId="8" applyFont="1"/>
    <xf numFmtId="41" fontId="13" fillId="0" borderId="0" xfId="0" applyNumberFormat="1" applyFont="1"/>
    <xf numFmtId="0" fontId="19" fillId="4" borderId="0" xfId="0" applyFont="1" applyFill="1" applyAlignment="1">
      <alignment horizontal="left" vertical="center"/>
    </xf>
    <xf numFmtId="3" fontId="19" fillId="4" borderId="0" xfId="0" applyNumberFormat="1" applyFont="1" applyFill="1" applyAlignment="1">
      <alignment horizontal="center" vertical="center"/>
    </xf>
    <xf numFmtId="173" fontId="19" fillId="4" borderId="0" xfId="0" applyNumberFormat="1" applyFont="1" applyFill="1" applyAlignment="1">
      <alignment horizontal="left" vertical="center"/>
    </xf>
    <xf numFmtId="173" fontId="19" fillId="4" borderId="0" xfId="0" applyNumberFormat="1" applyFont="1" applyFill="1" applyAlignment="1">
      <alignment horizontal="center" vertical="center"/>
    </xf>
    <xf numFmtId="173" fontId="19" fillId="4" borderId="0" xfId="0" applyNumberFormat="1" applyFont="1" applyFill="1" applyAlignment="1">
      <alignment horizontal="right" vertical="center"/>
    </xf>
    <xf numFmtId="174" fontId="19" fillId="4" borderId="0" xfId="22" applyNumberFormat="1" applyFont="1" applyFill="1" applyAlignment="1">
      <alignment horizontal="center" vertical="center"/>
    </xf>
    <xf numFmtId="173" fontId="18" fillId="4" borderId="0" xfId="0" applyNumberFormat="1" applyFont="1" applyFill="1" applyAlignment="1">
      <alignment vertical="center"/>
    </xf>
    <xf numFmtId="173" fontId="19" fillId="4" borderId="47" xfId="0" applyNumberFormat="1" applyFont="1" applyFill="1" applyBorder="1" applyAlignment="1">
      <alignment horizontal="right" vertical="center"/>
    </xf>
    <xf numFmtId="174" fontId="19" fillId="4" borderId="47" xfId="22" applyNumberFormat="1" applyFont="1" applyFill="1" applyBorder="1" applyAlignment="1">
      <alignment horizontal="center" vertical="center"/>
    </xf>
    <xf numFmtId="173" fontId="19" fillId="4" borderId="0" xfId="0" applyNumberFormat="1" applyFont="1" applyFill="1" applyAlignment="1">
      <alignment horizontal="center" vertical="center" wrapText="1"/>
    </xf>
    <xf numFmtId="3" fontId="18" fillId="4" borderId="0" xfId="0" applyNumberFormat="1" applyFont="1" applyFill="1" applyAlignment="1">
      <alignment horizontal="justify" vertical="center" wrapText="1"/>
    </xf>
    <xf numFmtId="3" fontId="18" fillId="4" borderId="7" xfId="0" applyNumberFormat="1" applyFont="1" applyFill="1" applyBorder="1" applyAlignment="1">
      <alignment vertical="center"/>
    </xf>
    <xf numFmtId="3" fontId="18" fillId="4" borderId="4" xfId="0" applyNumberFormat="1" applyFont="1" applyFill="1" applyBorder="1" applyAlignment="1">
      <alignment vertical="center"/>
    </xf>
    <xf numFmtId="3" fontId="18" fillId="4" borderId="1" xfId="0" applyNumberFormat="1" applyFont="1" applyFill="1" applyBorder="1" applyAlignment="1">
      <alignment vertical="center"/>
    </xf>
    <xf numFmtId="3" fontId="19" fillId="4" borderId="1" xfId="0" applyNumberFormat="1" applyFont="1" applyFill="1" applyBorder="1" applyAlignment="1">
      <alignment horizontal="center" vertical="center"/>
    </xf>
    <xf numFmtId="3" fontId="19" fillId="4" borderId="1" xfId="0" applyNumberFormat="1" applyFont="1" applyFill="1" applyBorder="1" applyAlignment="1">
      <alignment vertical="center"/>
    </xf>
    <xf numFmtId="169" fontId="18" fillId="4" borderId="1" xfId="1" applyNumberFormat="1" applyFont="1" applyFill="1" applyBorder="1" applyAlignment="1">
      <alignment horizontal="center" vertical="center"/>
    </xf>
    <xf numFmtId="169" fontId="18" fillId="14" borderId="19" xfId="1" applyNumberFormat="1" applyFont="1" applyFill="1" applyBorder="1" applyAlignment="1">
      <alignment horizontal="center" vertical="center"/>
    </xf>
    <xf numFmtId="169" fontId="19" fillId="4" borderId="1" xfId="1" applyNumberFormat="1" applyFont="1" applyFill="1" applyBorder="1" applyAlignment="1">
      <alignment horizontal="center" vertical="center"/>
    </xf>
    <xf numFmtId="3" fontId="19" fillId="4" borderId="3" xfId="0" applyNumberFormat="1" applyFont="1" applyFill="1" applyBorder="1" applyAlignment="1">
      <alignment vertical="center"/>
    </xf>
    <xf numFmtId="3" fontId="18" fillId="4" borderId="3" xfId="0" applyNumberFormat="1" applyFont="1" applyFill="1" applyBorder="1" applyAlignment="1">
      <alignment vertical="center"/>
    </xf>
    <xf numFmtId="169" fontId="18" fillId="4" borderId="3" xfId="1" applyNumberFormat="1" applyFont="1" applyFill="1" applyBorder="1" applyAlignment="1">
      <alignment horizontal="center" vertical="center"/>
    </xf>
    <xf numFmtId="169" fontId="19" fillId="4" borderId="3" xfId="1" applyNumberFormat="1" applyFont="1" applyFill="1" applyBorder="1" applyAlignment="1">
      <alignment horizontal="center" vertical="center"/>
    </xf>
    <xf numFmtId="169" fontId="18" fillId="15" borderId="1" xfId="1" applyNumberFormat="1" applyFont="1" applyFill="1" applyBorder="1" applyAlignment="1">
      <alignment horizontal="center" vertical="center"/>
    </xf>
    <xf numFmtId="169" fontId="18" fillId="4" borderId="3" xfId="1" applyNumberFormat="1" applyFont="1" applyFill="1" applyBorder="1" applyAlignment="1">
      <alignment vertical="center"/>
    </xf>
    <xf numFmtId="169" fontId="19" fillId="4" borderId="3" xfId="1" applyNumberFormat="1" applyFont="1" applyFill="1" applyBorder="1" applyAlignment="1">
      <alignment vertical="center"/>
    </xf>
    <xf numFmtId="3" fontId="18" fillId="4" borderId="48" xfId="0" applyNumberFormat="1" applyFont="1" applyFill="1" applyBorder="1" applyAlignment="1">
      <alignment vertical="center"/>
    </xf>
    <xf numFmtId="3" fontId="30" fillId="4" borderId="48" xfId="0" applyNumberFormat="1" applyFont="1" applyFill="1" applyBorder="1" applyAlignment="1">
      <alignment horizontal="right" vertical="center"/>
    </xf>
    <xf numFmtId="3" fontId="31" fillId="4" borderId="0" xfId="0" applyNumberFormat="1" applyFont="1" applyFill="1" applyAlignment="1">
      <alignment vertical="center"/>
    </xf>
    <xf numFmtId="3" fontId="29" fillId="16" borderId="0" xfId="0" quotePrefix="1" applyNumberFormat="1" applyFont="1" applyFill="1" applyAlignment="1">
      <alignment horizontal="center" vertical="center"/>
    </xf>
    <xf numFmtId="41" fontId="14" fillId="0" borderId="10" xfId="8" applyFont="1" applyBorder="1" applyAlignment="1">
      <alignment wrapText="1"/>
    </xf>
    <xf numFmtId="0" fontId="6" fillId="0" borderId="0" xfId="2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3" fillId="0" borderId="0" xfId="2" applyFont="1" applyAlignment="1">
      <alignment horizontal="left" vertical="center" wrapText="1"/>
    </xf>
    <xf numFmtId="3" fontId="19" fillId="4" borderId="0" xfId="0" applyNumberFormat="1" applyFont="1" applyFill="1" applyAlignment="1">
      <alignment horizontal="justify" vertical="center" wrapText="1"/>
    </xf>
    <xf numFmtId="3" fontId="28" fillId="4" borderId="0" xfId="0" applyNumberFormat="1" applyFont="1" applyFill="1" applyAlignment="1">
      <alignment horizontal="center" vertical="center"/>
    </xf>
    <xf numFmtId="3" fontId="29" fillId="16" borderId="0" xfId="0" applyNumberFormat="1" applyFont="1" applyFill="1" applyAlignment="1">
      <alignment horizontal="center" vertical="center"/>
    </xf>
    <xf numFmtId="3" fontId="19" fillId="4" borderId="1" xfId="0" applyNumberFormat="1" applyFont="1" applyFill="1" applyBorder="1" applyAlignment="1">
      <alignment horizontal="center" vertical="center" wrapText="1"/>
    </xf>
    <xf numFmtId="3" fontId="30" fillId="4" borderId="49" xfId="0" applyNumberFormat="1" applyFont="1" applyFill="1" applyBorder="1" applyAlignment="1">
      <alignment horizontal="justify" vertical="center"/>
    </xf>
    <xf numFmtId="3" fontId="30" fillId="4" borderId="48" xfId="0" applyNumberFormat="1" applyFont="1" applyFill="1" applyBorder="1" applyAlignment="1">
      <alignment horizontal="justify" vertical="center"/>
    </xf>
    <xf numFmtId="3" fontId="19" fillId="4" borderId="7" xfId="0" applyNumberFormat="1" applyFont="1" applyFill="1" applyBorder="1" applyAlignment="1">
      <alignment horizontal="center" vertical="center" wrapText="1"/>
    </xf>
    <xf numFmtId="3" fontId="19" fillId="4" borderId="4" xfId="0" applyNumberFormat="1" applyFont="1" applyFill="1" applyBorder="1" applyAlignment="1">
      <alignment horizontal="center" vertical="center" wrapText="1"/>
    </xf>
    <xf numFmtId="3" fontId="6" fillId="11" borderId="22" xfId="2" applyNumberFormat="1" applyFont="1" applyFill="1" applyBorder="1" applyAlignment="1">
      <alignment horizontal="center" vertical="center" wrapText="1"/>
    </xf>
    <xf numFmtId="0" fontId="6" fillId="11" borderId="22" xfId="2" applyFont="1" applyFill="1" applyBorder="1" applyAlignment="1">
      <alignment horizontal="center" wrapText="1"/>
    </xf>
    <xf numFmtId="49" fontId="6" fillId="11" borderId="22" xfId="2" applyNumberFormat="1" applyFont="1" applyFill="1" applyBorder="1" applyAlignment="1">
      <alignment horizontal="center" vertical="center" wrapText="1"/>
    </xf>
    <xf numFmtId="0" fontId="3" fillId="11" borderId="22" xfId="2" applyFont="1" applyFill="1" applyBorder="1"/>
    <xf numFmtId="0" fontId="9" fillId="11" borderId="36" xfId="2" applyFont="1" applyFill="1" applyBorder="1" applyAlignment="1">
      <alignment horizontal="center" vertical="center" wrapText="1"/>
    </xf>
    <xf numFmtId="0" fontId="9" fillId="11" borderId="37" xfId="2" applyFont="1" applyFill="1" applyBorder="1" applyAlignment="1">
      <alignment horizontal="center" vertical="center" wrapText="1"/>
    </xf>
    <xf numFmtId="0" fontId="9" fillId="11" borderId="38" xfId="2" applyFont="1" applyFill="1" applyBorder="1" applyAlignment="1">
      <alignment horizontal="center" vertical="center" wrapText="1"/>
    </xf>
    <xf numFmtId="0" fontId="9" fillId="11" borderId="39" xfId="2" applyFont="1" applyFill="1" applyBorder="1" applyAlignment="1">
      <alignment horizontal="center" vertical="center" wrapText="1"/>
    </xf>
    <xf numFmtId="0" fontId="9" fillId="11" borderId="35" xfId="2" applyFont="1" applyFill="1" applyBorder="1" applyAlignment="1">
      <alignment horizontal="center" vertical="center" wrapText="1"/>
    </xf>
    <xf numFmtId="0" fontId="9" fillId="11" borderId="40" xfId="2" applyFont="1" applyFill="1" applyBorder="1" applyAlignment="1">
      <alignment horizontal="center" vertical="center" wrapText="1"/>
    </xf>
    <xf numFmtId="0" fontId="7" fillId="11" borderId="41" xfId="2" applyFont="1" applyFill="1" applyBorder="1" applyAlignment="1">
      <alignment horizontal="center"/>
    </xf>
    <xf numFmtId="0" fontId="7" fillId="11" borderId="42" xfId="2" applyFont="1" applyFill="1" applyBorder="1" applyAlignment="1">
      <alignment horizontal="center"/>
    </xf>
    <xf numFmtId="0" fontId="7" fillId="11" borderId="43" xfId="2" applyFont="1" applyFill="1" applyBorder="1" applyAlignment="1">
      <alignment horizontal="center"/>
    </xf>
    <xf numFmtId="0" fontId="6" fillId="11" borderId="22" xfId="2" applyFont="1" applyFill="1" applyBorder="1" applyAlignment="1">
      <alignment horizontal="center" vertical="justify" textRotation="90" wrapText="1"/>
    </xf>
    <xf numFmtId="3" fontId="6" fillId="11" borderId="22" xfId="2" applyNumberFormat="1" applyFont="1" applyFill="1" applyBorder="1" applyAlignment="1">
      <alignment horizontal="left" vertical="center" wrapText="1"/>
    </xf>
    <xf numFmtId="0" fontId="6" fillId="11" borderId="22" xfId="2" applyFont="1" applyFill="1" applyBorder="1" applyAlignment="1">
      <alignment horizontal="left" wrapText="1"/>
    </xf>
    <xf numFmtId="0" fontId="6" fillId="11" borderId="22" xfId="2" applyFont="1" applyFill="1" applyBorder="1" applyAlignment="1">
      <alignment wrapText="1"/>
    </xf>
  </cellXfs>
  <cellStyles count="30">
    <cellStyle name="Millares" xfId="1" builtinId="3"/>
    <cellStyle name="Millares [0]" xfId="8" builtinId="6"/>
    <cellStyle name="Millares [0] 2" xfId="28" xr:uid="{00000000-0005-0000-0000-000002000000}"/>
    <cellStyle name="Millares 10" xfId="23" xr:uid="{00000000-0005-0000-0000-000003000000}"/>
    <cellStyle name="Millares 11" xfId="24" xr:uid="{00000000-0005-0000-0000-000004000000}"/>
    <cellStyle name="Millares 12" xfId="26" xr:uid="{00000000-0005-0000-0000-000005000000}"/>
    <cellStyle name="Millares 13" xfId="27" xr:uid="{00000000-0005-0000-0000-000006000000}"/>
    <cellStyle name="Millares 13 2" xfId="29" xr:uid="{00000000-0005-0000-0000-000007000000}"/>
    <cellStyle name="Millares 2" xfId="5" xr:uid="{00000000-0005-0000-0000-000008000000}"/>
    <cellStyle name="Millares 2 2" xfId="12" xr:uid="{00000000-0005-0000-0000-000009000000}"/>
    <cellStyle name="Millares 2 4" xfId="20" xr:uid="{00000000-0005-0000-0000-00000A000000}"/>
    <cellStyle name="Millares 2 5" xfId="25" xr:uid="{00000000-0005-0000-0000-00000B000000}"/>
    <cellStyle name="Millares 3" xfId="6" xr:uid="{00000000-0005-0000-0000-00000C000000}"/>
    <cellStyle name="Millares 3 2" xfId="18" xr:uid="{00000000-0005-0000-0000-00000D000000}"/>
    <cellStyle name="Millares 5" xfId="11" xr:uid="{00000000-0005-0000-0000-00000E000000}"/>
    <cellStyle name="Millares 6" xfId="13" xr:uid="{00000000-0005-0000-0000-00000F000000}"/>
    <cellStyle name="Millares 6 2" xfId="19" xr:uid="{00000000-0005-0000-0000-000010000000}"/>
    <cellStyle name="Millares 7" xfId="14" xr:uid="{00000000-0005-0000-0000-000011000000}"/>
    <cellStyle name="Millares 8" xfId="15" xr:uid="{00000000-0005-0000-0000-000012000000}"/>
    <cellStyle name="Millares 9" xfId="21" xr:uid="{00000000-0005-0000-0000-000013000000}"/>
    <cellStyle name="Moneda 2 2" xfId="22" xr:uid="{00000000-0005-0000-0000-000014000000}"/>
    <cellStyle name="Moneda 5" xfId="10" xr:uid="{00000000-0005-0000-0000-000015000000}"/>
    <cellStyle name="Normal" xfId="0" builtinId="0"/>
    <cellStyle name="Normal 2" xfId="2" xr:uid="{00000000-0005-0000-0000-000017000000}"/>
    <cellStyle name="Normal 2 2" xfId="16" xr:uid="{00000000-0005-0000-0000-000018000000}"/>
    <cellStyle name="Normal 25" xfId="4" xr:uid="{00000000-0005-0000-0000-000019000000}"/>
    <cellStyle name="Normal 25 2" xfId="17" xr:uid="{00000000-0005-0000-0000-00001A000000}"/>
    <cellStyle name="Normal 3" xfId="9" xr:uid="{00000000-0005-0000-0000-00001B000000}"/>
    <cellStyle name="Porcentaje" xfId="7" builtinId="5"/>
    <cellStyle name="Porcentaje 2" xfId="3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  <pageSetUpPr fitToPage="1"/>
  </sheetPr>
  <dimension ref="A1:AD975"/>
  <sheetViews>
    <sheetView zoomScaleNormal="100" workbookViewId="0">
      <pane xSplit="6" ySplit="9" topLeftCell="G10" activePane="bottomRight" state="frozen"/>
      <selection pane="topRight" activeCell="G1" sqref="G1"/>
      <selection pane="bottomLeft" activeCell="A10" sqref="A10"/>
      <selection pane="bottomRight" activeCell="G10" sqref="G10"/>
    </sheetView>
  </sheetViews>
  <sheetFormatPr baseColWidth="10" defaultColWidth="11.42578125" defaultRowHeight="14.25" x14ac:dyDescent="0.2"/>
  <cols>
    <col min="1" max="1" width="5.7109375" style="31" customWidth="1"/>
    <col min="2" max="2" width="5.85546875" style="31" customWidth="1"/>
    <col min="3" max="3" width="5.140625" style="31" customWidth="1"/>
    <col min="4" max="4" width="8.140625" style="31" customWidth="1"/>
    <col min="5" max="5" width="16" style="31" hidden="1" customWidth="1"/>
    <col min="6" max="6" width="38" style="31" customWidth="1"/>
    <col min="7" max="8" width="17.42578125" style="31" customWidth="1"/>
    <col min="9" max="9" width="16.85546875" style="31" customWidth="1"/>
    <col min="10" max="10" width="16.5703125" style="31" customWidth="1"/>
    <col min="11" max="11" width="16.5703125" style="31" hidden="1" customWidth="1"/>
    <col min="12" max="12" width="17" style="31" hidden="1" customWidth="1"/>
    <col min="13" max="14" width="19.5703125" style="31" hidden="1" customWidth="1"/>
    <col min="15" max="15" width="19.140625" style="31" hidden="1" customWidth="1"/>
    <col min="16" max="16" width="20.140625" style="31" hidden="1" customWidth="1"/>
    <col min="17" max="17" width="19.5703125" style="31" hidden="1" customWidth="1"/>
    <col min="18" max="18" width="16.7109375" style="31" hidden="1" customWidth="1"/>
    <col min="19" max="19" width="16.5703125" style="31" bestFit="1" customWidth="1"/>
    <col min="20" max="20" width="17" style="72" customWidth="1"/>
    <col min="21" max="21" width="14" style="37" customWidth="1"/>
    <col min="22" max="22" width="17.85546875" style="39" customWidth="1"/>
    <col min="23" max="24" width="16.85546875" style="271" customWidth="1"/>
    <col min="25" max="25" width="17.7109375" style="271" customWidth="1"/>
    <col min="26" max="26" width="18.42578125" style="274" customWidth="1"/>
    <col min="27" max="27" width="19" style="31" customWidth="1"/>
    <col min="28" max="28" width="18.42578125" style="274" customWidth="1"/>
    <col min="29" max="29" width="17" style="274" customWidth="1"/>
    <col min="30" max="30" width="11.42578125" style="274" customWidth="1"/>
    <col min="31" max="32" width="11.42578125" style="31" customWidth="1"/>
    <col min="33" max="16384" width="11.42578125" style="31"/>
  </cols>
  <sheetData>
    <row r="1" spans="1:29" ht="16.5" customHeight="1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0"/>
      <c r="S1" s="13"/>
      <c r="T1" s="128" t="s">
        <v>473</v>
      </c>
      <c r="U1" s="13"/>
      <c r="V1" s="47"/>
    </row>
    <row r="2" spans="1:29" ht="21.75" customHeight="1" x14ac:dyDescent="0.2">
      <c r="A2" s="310" t="s">
        <v>350</v>
      </c>
      <c r="B2" s="311"/>
      <c r="C2" s="311"/>
      <c r="D2" s="311"/>
      <c r="E2" s="311"/>
      <c r="F2" s="311"/>
      <c r="G2" s="10"/>
      <c r="H2" s="10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29"/>
      <c r="U2" s="14"/>
      <c r="V2" s="14"/>
    </row>
    <row r="3" spans="1:29" ht="17.25" customHeight="1" x14ac:dyDescent="0.2">
      <c r="A3" s="312" t="s">
        <v>0</v>
      </c>
      <c r="B3" s="311"/>
      <c r="C3" s="311"/>
      <c r="D3" s="311"/>
      <c r="E3" s="311"/>
      <c r="F3" s="311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28"/>
      <c r="U3" s="16"/>
      <c r="V3" s="47"/>
    </row>
    <row r="4" spans="1:29" x14ac:dyDescent="0.2">
      <c r="A4" s="32"/>
      <c r="B4" s="32"/>
      <c r="C4" s="32"/>
      <c r="D4" s="32"/>
      <c r="E4" s="32"/>
      <c r="F4" s="32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28"/>
      <c r="U4" s="16"/>
      <c r="V4" s="47"/>
    </row>
    <row r="5" spans="1:29" ht="30.75" customHeight="1" x14ac:dyDescent="0.2">
      <c r="A5" s="310" t="s">
        <v>351</v>
      </c>
      <c r="B5" s="310"/>
      <c r="C5" s="310"/>
      <c r="D5" s="310"/>
      <c r="E5" s="310"/>
      <c r="F5" s="310"/>
      <c r="G5" s="310"/>
      <c r="H5" s="41"/>
      <c r="I5" s="10"/>
      <c r="J5" s="10"/>
      <c r="K5" s="10"/>
      <c r="L5" s="10"/>
      <c r="M5" s="10"/>
      <c r="O5" s="10"/>
      <c r="P5" s="10"/>
      <c r="Q5" s="10"/>
      <c r="R5" s="10"/>
      <c r="S5" s="10"/>
      <c r="T5" s="214">
        <f>T10-T45</f>
        <v>0</v>
      </c>
      <c r="U5" s="10"/>
      <c r="V5" s="47"/>
    </row>
    <row r="6" spans="1:29" ht="27" customHeight="1" x14ac:dyDescent="0.2">
      <c r="A6" s="308" t="s">
        <v>479</v>
      </c>
      <c r="B6" s="309"/>
      <c r="C6" s="309"/>
      <c r="D6" s="309"/>
      <c r="E6" s="309"/>
      <c r="F6" s="309"/>
      <c r="G6" s="10"/>
      <c r="I6" s="10"/>
      <c r="J6" s="10"/>
      <c r="K6" s="10"/>
      <c r="L6" s="10"/>
      <c r="M6" s="10"/>
      <c r="N6" s="10"/>
      <c r="O6" s="10"/>
      <c r="P6" s="10"/>
      <c r="Q6" s="10"/>
      <c r="R6" s="17"/>
      <c r="S6" s="17"/>
      <c r="T6" s="130"/>
      <c r="U6" s="30"/>
      <c r="V6" s="47"/>
    </row>
    <row r="7" spans="1:29" ht="13.9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0"/>
      <c r="R7" s="13"/>
      <c r="S7" s="10"/>
      <c r="T7" s="131"/>
      <c r="U7" s="14"/>
      <c r="V7" s="47"/>
    </row>
    <row r="8" spans="1:29" ht="13.9" customHeight="1" x14ac:dyDescent="0.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0"/>
      <c r="R8" s="13"/>
      <c r="S8" s="10"/>
      <c r="T8" s="131"/>
      <c r="U8" s="14"/>
      <c r="V8" s="47"/>
    </row>
    <row r="9" spans="1:29" ht="34.5" customHeight="1" thickBot="1" x14ac:dyDescent="0.25">
      <c r="A9" s="141" t="s">
        <v>2</v>
      </c>
      <c r="B9" s="141" t="s">
        <v>3</v>
      </c>
      <c r="C9" s="141" t="s">
        <v>4</v>
      </c>
      <c r="D9" s="141" t="s">
        <v>5</v>
      </c>
      <c r="E9" s="141"/>
      <c r="F9" s="141" t="s">
        <v>6</v>
      </c>
      <c r="G9" s="142" t="s">
        <v>7</v>
      </c>
      <c r="H9" s="142" t="s">
        <v>8</v>
      </c>
      <c r="I9" s="142" t="s">
        <v>9</v>
      </c>
      <c r="J9" s="142" t="s">
        <v>10</v>
      </c>
      <c r="K9" s="142" t="s">
        <v>11</v>
      </c>
      <c r="L9" s="142" t="s">
        <v>12</v>
      </c>
      <c r="M9" s="142" t="s">
        <v>13</v>
      </c>
      <c r="N9" s="142" t="s">
        <v>14</v>
      </c>
      <c r="O9" s="142" t="s">
        <v>15</v>
      </c>
      <c r="P9" s="142" t="s">
        <v>16</v>
      </c>
      <c r="Q9" s="142" t="s">
        <v>17</v>
      </c>
      <c r="R9" s="142" t="s">
        <v>18</v>
      </c>
      <c r="S9" s="143" t="s">
        <v>19</v>
      </c>
      <c r="T9" s="144" t="s">
        <v>20</v>
      </c>
      <c r="U9" s="145" t="s">
        <v>21</v>
      </c>
      <c r="V9" s="146" t="s">
        <v>22</v>
      </c>
      <c r="W9" s="272"/>
      <c r="X9" s="272"/>
      <c r="Y9" s="272"/>
      <c r="Z9" s="272"/>
      <c r="AA9" s="273"/>
      <c r="AB9" s="272"/>
      <c r="AC9" s="272"/>
    </row>
    <row r="10" spans="1:29" ht="24" customHeight="1" thickBot="1" x14ac:dyDescent="0.3">
      <c r="A10" s="157"/>
      <c r="B10" s="158"/>
      <c r="C10" s="158"/>
      <c r="D10" s="158"/>
      <c r="E10" s="158" t="s">
        <v>422</v>
      </c>
      <c r="F10" s="207" t="s">
        <v>23</v>
      </c>
      <c r="G10" s="147">
        <f>+G11+G15+G25+G28+G33+G42+G44</f>
        <v>23051635769</v>
      </c>
      <c r="H10" s="147">
        <f>+H11+H15+H25+H28+H33+H42+H44</f>
        <v>24643805235</v>
      </c>
      <c r="I10" s="147">
        <f>+I15+I25+I28+I33+I42+I44+I36+I11</f>
        <v>47060668238</v>
      </c>
      <c r="J10" s="147">
        <f>+J15+J25+J28+J33+J42+J44+J36+J11</f>
        <v>25451479634</v>
      </c>
      <c r="K10" s="147">
        <f t="shared" ref="K10:Q10" si="0">+K15+K25+K28+K33+K42+K44+K11</f>
        <v>0</v>
      </c>
      <c r="L10" s="147">
        <f t="shared" si="0"/>
        <v>0</v>
      </c>
      <c r="M10" s="147">
        <f t="shared" si="0"/>
        <v>0</v>
      </c>
      <c r="N10" s="147">
        <f t="shared" si="0"/>
        <v>0</v>
      </c>
      <c r="O10" s="147">
        <f t="shared" si="0"/>
        <v>0</v>
      </c>
      <c r="P10" s="147">
        <f>+P15+P25+P28+P33+P42+P44+P11+P36</f>
        <v>0</v>
      </c>
      <c r="Q10" s="147">
        <f t="shared" si="0"/>
        <v>0</v>
      </c>
      <c r="R10" s="147">
        <f>+R15+R25+R28+R33+R42+R44+R11+R36</f>
        <v>0</v>
      </c>
      <c r="S10" s="147">
        <f>+S15+S25+S28+S33+S42+S44+S11+S36</f>
        <v>120207588876</v>
      </c>
      <c r="T10" s="148">
        <f>+T15+T25+T28+T33+T42+T44+T36+T11</f>
        <v>295374855000</v>
      </c>
      <c r="U10" s="149">
        <f t="shared" ref="U10" si="1">+S10/T10</f>
        <v>0.40696622221278789</v>
      </c>
      <c r="V10" s="147">
        <f>+V15+V25+V28+V33+V42+V44+V36+V11</f>
        <v>175167266124</v>
      </c>
      <c r="AA10" s="276"/>
    </row>
    <row r="11" spans="1:29" ht="15.95" customHeight="1" x14ac:dyDescent="0.2">
      <c r="A11" s="229" t="s">
        <v>48</v>
      </c>
      <c r="B11" s="230"/>
      <c r="C11" s="230"/>
      <c r="D11" s="230"/>
      <c r="E11" s="230"/>
      <c r="F11" s="231" t="s">
        <v>184</v>
      </c>
      <c r="G11" s="232">
        <f>G12</f>
        <v>0</v>
      </c>
      <c r="H11" s="232">
        <f t="shared" ref="H11:V11" si="2">H12</f>
        <v>1753007884</v>
      </c>
      <c r="I11" s="232">
        <f t="shared" si="2"/>
        <v>1431648165</v>
      </c>
      <c r="J11" s="232">
        <f t="shared" si="2"/>
        <v>922059774</v>
      </c>
      <c r="K11" s="232">
        <f t="shared" si="2"/>
        <v>0</v>
      </c>
      <c r="L11" s="232">
        <f t="shared" si="2"/>
        <v>0</v>
      </c>
      <c r="M11" s="232">
        <f t="shared" si="2"/>
        <v>0</v>
      </c>
      <c r="N11" s="232">
        <f t="shared" si="2"/>
        <v>0</v>
      </c>
      <c r="O11" s="232">
        <f t="shared" si="2"/>
        <v>0</v>
      </c>
      <c r="P11" s="232">
        <f t="shared" si="2"/>
        <v>0</v>
      </c>
      <c r="Q11" s="232">
        <f t="shared" si="2"/>
        <v>0</v>
      </c>
      <c r="R11" s="232">
        <f t="shared" si="2"/>
        <v>0</v>
      </c>
      <c r="S11" s="232">
        <f t="shared" si="2"/>
        <v>4106715823</v>
      </c>
      <c r="T11" s="232">
        <f>T12</f>
        <v>12575484000</v>
      </c>
      <c r="U11" s="233">
        <f>U12</f>
        <v>0.326565229855169</v>
      </c>
      <c r="V11" s="234">
        <f t="shared" si="2"/>
        <v>8468768177</v>
      </c>
      <c r="AA11" s="276"/>
    </row>
    <row r="12" spans="1:29" ht="13.9" customHeight="1" x14ac:dyDescent="0.2">
      <c r="A12" s="259"/>
      <c r="B12" s="259" t="s">
        <v>34</v>
      </c>
      <c r="C12" s="259"/>
      <c r="D12" s="259"/>
      <c r="E12" s="259"/>
      <c r="F12" s="262" t="s">
        <v>415</v>
      </c>
      <c r="G12" s="263">
        <f t="shared" ref="G12:S12" si="3">+G13+G14</f>
        <v>0</v>
      </c>
      <c r="H12" s="263">
        <f t="shared" si="3"/>
        <v>1753007884</v>
      </c>
      <c r="I12" s="263">
        <f t="shared" si="3"/>
        <v>1431648165</v>
      </c>
      <c r="J12" s="263">
        <f t="shared" si="3"/>
        <v>922059774</v>
      </c>
      <c r="K12" s="263">
        <f t="shared" si="3"/>
        <v>0</v>
      </c>
      <c r="L12" s="263">
        <f t="shared" si="3"/>
        <v>0</v>
      </c>
      <c r="M12" s="263">
        <f t="shared" si="3"/>
        <v>0</v>
      </c>
      <c r="N12" s="263">
        <f t="shared" si="3"/>
        <v>0</v>
      </c>
      <c r="O12" s="263">
        <f t="shared" si="3"/>
        <v>0</v>
      </c>
      <c r="P12" s="263">
        <f t="shared" si="3"/>
        <v>0</v>
      </c>
      <c r="Q12" s="263">
        <f>+Q13+Q14</f>
        <v>0</v>
      </c>
      <c r="R12" s="263">
        <f>+R13+R14</f>
        <v>0</v>
      </c>
      <c r="S12" s="263">
        <f t="shared" si="3"/>
        <v>4106715823</v>
      </c>
      <c r="T12" s="264">
        <f>+T13+T14</f>
        <v>12575484000</v>
      </c>
      <c r="U12" s="265">
        <f>+S12/T12</f>
        <v>0.326565229855169</v>
      </c>
      <c r="V12" s="266">
        <f>+V13+V14</f>
        <v>8468768177</v>
      </c>
      <c r="AA12" s="276"/>
    </row>
    <row r="13" spans="1:29" x14ac:dyDescent="0.2">
      <c r="A13" s="5"/>
      <c r="B13" s="5"/>
      <c r="C13" s="7" t="s">
        <v>28</v>
      </c>
      <c r="D13" s="7" t="s">
        <v>29</v>
      </c>
      <c r="E13" s="7"/>
      <c r="F13" s="160" t="s">
        <v>413</v>
      </c>
      <c r="G13" s="161">
        <v>0</v>
      </c>
      <c r="H13" s="161">
        <v>1753007884</v>
      </c>
      <c r="I13" s="161">
        <v>1431648165</v>
      </c>
      <c r="J13" s="161">
        <v>922059774</v>
      </c>
      <c r="K13" s="161"/>
      <c r="L13" s="161"/>
      <c r="M13" s="161"/>
      <c r="N13" s="161"/>
      <c r="O13" s="161"/>
      <c r="P13" s="161"/>
      <c r="Q13" s="161"/>
      <c r="R13" s="161"/>
      <c r="S13" s="161">
        <f>SUM(G13:R13)</f>
        <v>4106715823</v>
      </c>
      <c r="T13" s="209">
        <v>12575474000</v>
      </c>
      <c r="U13" s="49">
        <f>+S13/T13</f>
        <v>0.32656548953940029</v>
      </c>
      <c r="V13" s="209">
        <f t="shared" ref="V13:V14" si="4">+T13-S13</f>
        <v>8468758177</v>
      </c>
      <c r="AA13" s="276"/>
    </row>
    <row r="14" spans="1:29" ht="15" thickBot="1" x14ac:dyDescent="0.25">
      <c r="A14" s="5"/>
      <c r="B14" s="5"/>
      <c r="C14" s="7">
        <v>201</v>
      </c>
      <c r="D14" s="7" t="s">
        <v>29</v>
      </c>
      <c r="E14" s="7"/>
      <c r="F14" s="160" t="s">
        <v>416</v>
      </c>
      <c r="G14" s="33">
        <v>0</v>
      </c>
      <c r="H14" s="161">
        <v>0</v>
      </c>
      <c r="I14" s="161">
        <v>0</v>
      </c>
      <c r="J14" s="161"/>
      <c r="K14" s="161"/>
      <c r="L14" s="161"/>
      <c r="M14" s="161"/>
      <c r="N14" s="161"/>
      <c r="O14" s="161"/>
      <c r="P14" s="161"/>
      <c r="Q14" s="161"/>
      <c r="R14" s="161"/>
      <c r="S14" s="161">
        <f>SUM(G14:R14)</f>
        <v>0</v>
      </c>
      <c r="T14" s="33">
        <v>10000</v>
      </c>
      <c r="U14" s="49">
        <f>+S14/T14</f>
        <v>0</v>
      </c>
      <c r="V14" s="162">
        <f t="shared" si="4"/>
        <v>10000</v>
      </c>
      <c r="AA14" s="276"/>
    </row>
    <row r="15" spans="1:29" ht="15.95" customHeight="1" x14ac:dyDescent="0.2">
      <c r="A15" s="229" t="s">
        <v>24</v>
      </c>
      <c r="B15" s="230"/>
      <c r="C15" s="230"/>
      <c r="D15" s="230"/>
      <c r="E15" s="230"/>
      <c r="F15" s="231" t="s">
        <v>25</v>
      </c>
      <c r="G15" s="232">
        <f>+G16+G19+G22</f>
        <v>8682354</v>
      </c>
      <c r="H15" s="232">
        <f>+H16+H19+H22</f>
        <v>409236035</v>
      </c>
      <c r="I15" s="232">
        <f t="shared" ref="I15:Q15" si="5">+I16+I19+I22</f>
        <v>220429781</v>
      </c>
      <c r="J15" s="232">
        <f t="shared" si="5"/>
        <v>237886679</v>
      </c>
      <c r="K15" s="232">
        <f t="shared" si="5"/>
        <v>0</v>
      </c>
      <c r="L15" s="232">
        <f t="shared" si="5"/>
        <v>0</v>
      </c>
      <c r="M15" s="232">
        <f t="shared" si="5"/>
        <v>0</v>
      </c>
      <c r="N15" s="232">
        <f t="shared" si="5"/>
        <v>0</v>
      </c>
      <c r="O15" s="232">
        <f t="shared" si="5"/>
        <v>0</v>
      </c>
      <c r="P15" s="232">
        <f t="shared" si="5"/>
        <v>0</v>
      </c>
      <c r="Q15" s="232">
        <f t="shared" si="5"/>
        <v>0</v>
      </c>
      <c r="R15" s="232">
        <f>+R16+R19+R22</f>
        <v>0</v>
      </c>
      <c r="S15" s="232">
        <f>+S16+S19+S22</f>
        <v>876234849</v>
      </c>
      <c r="T15" s="232">
        <f>+T16+T19+T22</f>
        <v>1874133000</v>
      </c>
      <c r="U15" s="233">
        <f>U16</f>
        <v>0.44594086065396638</v>
      </c>
      <c r="V15" s="234">
        <f>+V16+V19+V22</f>
        <v>997898151</v>
      </c>
      <c r="AA15" s="276"/>
    </row>
    <row r="16" spans="1:29" ht="13.9" customHeight="1" x14ac:dyDescent="0.2">
      <c r="A16" s="259"/>
      <c r="B16" s="259" t="s">
        <v>26</v>
      </c>
      <c r="C16" s="259"/>
      <c r="D16" s="259"/>
      <c r="E16" s="259"/>
      <c r="F16" s="262" t="s">
        <v>27</v>
      </c>
      <c r="G16" s="263">
        <f>+G17+G18</f>
        <v>2475819</v>
      </c>
      <c r="H16" s="263">
        <f t="shared" ref="H16:I16" si="6">+H17+H18</f>
        <v>410031419</v>
      </c>
      <c r="I16" s="263">
        <f t="shared" si="6"/>
        <v>195420699</v>
      </c>
      <c r="J16" s="263">
        <f t="shared" ref="J16:R16" si="7">+J17+J18</f>
        <v>227824546</v>
      </c>
      <c r="K16" s="263">
        <f t="shared" si="7"/>
        <v>0</v>
      </c>
      <c r="L16" s="263">
        <f t="shared" si="7"/>
        <v>0</v>
      </c>
      <c r="M16" s="263">
        <f t="shared" si="7"/>
        <v>0</v>
      </c>
      <c r="N16" s="263">
        <f t="shared" si="7"/>
        <v>0</v>
      </c>
      <c r="O16" s="263">
        <f t="shared" si="7"/>
        <v>0</v>
      </c>
      <c r="P16" s="263">
        <f t="shared" si="7"/>
        <v>0</v>
      </c>
      <c r="Q16" s="263">
        <f t="shared" si="7"/>
        <v>0</v>
      </c>
      <c r="R16" s="263">
        <f t="shared" si="7"/>
        <v>0</v>
      </c>
      <c r="S16" s="263">
        <f t="shared" ref="S16:T16" si="8">+S17+S18</f>
        <v>835752483</v>
      </c>
      <c r="T16" s="264">
        <f t="shared" si="8"/>
        <v>1874133000</v>
      </c>
      <c r="U16" s="265">
        <f>+S16/T16</f>
        <v>0.44594086065396638</v>
      </c>
      <c r="V16" s="266">
        <f>+V17+V18</f>
        <v>1038380517</v>
      </c>
      <c r="AA16" s="276"/>
    </row>
    <row r="17" spans="1:27" x14ac:dyDescent="0.2">
      <c r="A17" s="5"/>
      <c r="B17" s="5"/>
      <c r="C17" s="7" t="s">
        <v>28</v>
      </c>
      <c r="D17" s="7" t="s">
        <v>29</v>
      </c>
      <c r="E17" s="7"/>
      <c r="F17" s="160" t="s">
        <v>30</v>
      </c>
      <c r="G17" s="161">
        <v>2299642</v>
      </c>
      <c r="H17" s="161">
        <v>0</v>
      </c>
      <c r="I17" s="161">
        <v>14516323</v>
      </c>
      <c r="J17" s="161">
        <v>24657329</v>
      </c>
      <c r="K17" s="161"/>
      <c r="L17" s="161"/>
      <c r="M17" s="161"/>
      <c r="N17" s="161"/>
      <c r="O17" s="161"/>
      <c r="P17" s="161"/>
      <c r="Q17" s="161"/>
      <c r="R17" s="161"/>
      <c r="S17" s="161">
        <f>SUM(G17:R17)</f>
        <v>41473294</v>
      </c>
      <c r="T17" s="132">
        <v>0</v>
      </c>
      <c r="U17" s="49" t="s">
        <v>31</v>
      </c>
      <c r="V17" s="163">
        <f t="shared" ref="V17:V18" si="9">+T17-S17</f>
        <v>-41473294</v>
      </c>
      <c r="AA17" s="276"/>
    </row>
    <row r="18" spans="1:27" x14ac:dyDescent="0.2">
      <c r="A18" s="5"/>
      <c r="B18" s="5"/>
      <c r="C18" s="7" t="s">
        <v>32</v>
      </c>
      <c r="D18" s="7" t="s">
        <v>29</v>
      </c>
      <c r="E18" s="7"/>
      <c r="F18" s="160" t="s">
        <v>33</v>
      </c>
      <c r="G18" s="33">
        <v>176177</v>
      </c>
      <c r="H18" s="161">
        <v>410031419</v>
      </c>
      <c r="I18" s="161">
        <v>180904376</v>
      </c>
      <c r="J18" s="161">
        <v>203167217</v>
      </c>
      <c r="K18" s="161"/>
      <c r="L18" s="161"/>
      <c r="M18" s="161"/>
      <c r="N18" s="161"/>
      <c r="O18" s="161"/>
      <c r="P18" s="161"/>
      <c r="Q18" s="161"/>
      <c r="R18" s="161"/>
      <c r="S18" s="161">
        <f>SUM(G18:R18)</f>
        <v>794279189</v>
      </c>
      <c r="T18" s="33">
        <v>1874133000</v>
      </c>
      <c r="U18" s="49">
        <f>+S18/T18</f>
        <v>0.42381153792180171</v>
      </c>
      <c r="V18" s="163">
        <f t="shared" si="9"/>
        <v>1079853811</v>
      </c>
      <c r="AA18" s="276"/>
    </row>
    <row r="19" spans="1:27" ht="13.9" customHeight="1" x14ac:dyDescent="0.2">
      <c r="A19" s="259"/>
      <c r="B19" s="259" t="s">
        <v>34</v>
      </c>
      <c r="C19" s="260" t="s">
        <v>29</v>
      </c>
      <c r="D19" s="260" t="s">
        <v>29</v>
      </c>
      <c r="E19" s="260"/>
      <c r="F19" s="262" t="s">
        <v>35</v>
      </c>
      <c r="G19" s="263">
        <f>+G20+G21</f>
        <v>2874236</v>
      </c>
      <c r="H19" s="263">
        <f t="shared" ref="H19:R19" si="10">+H20+H21</f>
        <v>0</v>
      </c>
      <c r="I19" s="263">
        <f>+I20+I21</f>
        <v>14363471</v>
      </c>
      <c r="J19" s="263">
        <f>+J20+J21</f>
        <v>1673676</v>
      </c>
      <c r="K19" s="263">
        <f t="shared" si="10"/>
        <v>0</v>
      </c>
      <c r="L19" s="263">
        <f t="shared" si="10"/>
        <v>0</v>
      </c>
      <c r="M19" s="263">
        <f t="shared" si="10"/>
        <v>0</v>
      </c>
      <c r="N19" s="263">
        <f t="shared" si="10"/>
        <v>0</v>
      </c>
      <c r="O19" s="263">
        <f t="shared" si="10"/>
        <v>0</v>
      </c>
      <c r="P19" s="263">
        <f>+P20+P21</f>
        <v>0</v>
      </c>
      <c r="Q19" s="263">
        <f t="shared" si="10"/>
        <v>0</v>
      </c>
      <c r="R19" s="263">
        <f t="shared" si="10"/>
        <v>0</v>
      </c>
      <c r="S19" s="263">
        <f>+S20+S21</f>
        <v>18911383</v>
      </c>
      <c r="T19" s="264">
        <f>+T20+T21</f>
        <v>0</v>
      </c>
      <c r="U19" s="265" t="s">
        <v>31</v>
      </c>
      <c r="V19" s="261">
        <f t="shared" ref="V19:V23" si="11">+T19-S19</f>
        <v>-18911383</v>
      </c>
      <c r="AA19" s="276"/>
    </row>
    <row r="20" spans="1:27" ht="13.9" customHeight="1" x14ac:dyDescent="0.2">
      <c r="A20" s="5"/>
      <c r="B20" s="5"/>
      <c r="C20" s="7" t="s">
        <v>28</v>
      </c>
      <c r="D20" s="7"/>
      <c r="E20" s="7"/>
      <c r="F20" s="160" t="s">
        <v>36</v>
      </c>
      <c r="G20" s="161">
        <v>2874236</v>
      </c>
      <c r="H20" s="161">
        <v>0</v>
      </c>
      <c r="I20" s="161">
        <v>14363471</v>
      </c>
      <c r="J20" s="161">
        <v>1673676</v>
      </c>
      <c r="K20" s="161"/>
      <c r="L20" s="161"/>
      <c r="M20" s="161"/>
      <c r="N20" s="161"/>
      <c r="O20" s="161"/>
      <c r="P20" s="161"/>
      <c r="Q20" s="161"/>
      <c r="R20" s="161"/>
      <c r="S20" s="161">
        <f>SUM(G20:R20)</f>
        <v>18911383</v>
      </c>
      <c r="T20" s="133">
        <v>0</v>
      </c>
      <c r="U20" s="49" t="s">
        <v>31</v>
      </c>
      <c r="V20" s="163">
        <f t="shared" si="11"/>
        <v>-18911383</v>
      </c>
      <c r="AA20" s="276"/>
    </row>
    <row r="21" spans="1:27" ht="13.9" customHeight="1" x14ac:dyDescent="0.2">
      <c r="A21" s="5"/>
      <c r="B21" s="5"/>
      <c r="C21" s="7" t="s">
        <v>32</v>
      </c>
      <c r="D21" s="7"/>
      <c r="E21" s="7"/>
      <c r="F21" s="160" t="s">
        <v>37</v>
      </c>
      <c r="G21" s="161">
        <v>0</v>
      </c>
      <c r="H21" s="161">
        <v>0</v>
      </c>
      <c r="I21" s="161">
        <v>0</v>
      </c>
      <c r="J21" s="161">
        <v>0</v>
      </c>
      <c r="K21" s="161"/>
      <c r="L21" s="161"/>
      <c r="M21" s="161"/>
      <c r="N21" s="161"/>
      <c r="O21" s="161"/>
      <c r="P21" s="161"/>
      <c r="Q21" s="161"/>
      <c r="R21" s="161"/>
      <c r="S21" s="161">
        <f>SUM(G21:R21)</f>
        <v>0</v>
      </c>
      <c r="T21" s="133">
        <v>0</v>
      </c>
      <c r="U21" s="49" t="s">
        <v>31</v>
      </c>
      <c r="V21" s="163">
        <f t="shared" si="11"/>
        <v>0</v>
      </c>
      <c r="AA21" s="276"/>
    </row>
    <row r="22" spans="1:27" ht="13.9" customHeight="1" x14ac:dyDescent="0.2">
      <c r="A22" s="259"/>
      <c r="B22" s="259">
        <v>99</v>
      </c>
      <c r="C22" s="260"/>
      <c r="D22" s="260"/>
      <c r="E22" s="260"/>
      <c r="F22" s="262" t="s">
        <v>38</v>
      </c>
      <c r="G22" s="267">
        <f>G23+G24</f>
        <v>3332299</v>
      </c>
      <c r="H22" s="241">
        <f>H23+H24</f>
        <v>-795384</v>
      </c>
      <c r="I22" s="267">
        <f t="shared" ref="I22:S22" si="12">I23+I24</f>
        <v>10645611</v>
      </c>
      <c r="J22" s="267">
        <f t="shared" si="12"/>
        <v>8388457</v>
      </c>
      <c r="K22" s="241">
        <f t="shared" si="12"/>
        <v>0</v>
      </c>
      <c r="L22" s="241">
        <f t="shared" si="12"/>
        <v>0</v>
      </c>
      <c r="M22" s="241">
        <f t="shared" si="12"/>
        <v>0</v>
      </c>
      <c r="N22" s="241">
        <f t="shared" si="12"/>
        <v>0</v>
      </c>
      <c r="O22" s="241">
        <f t="shared" si="12"/>
        <v>0</v>
      </c>
      <c r="P22" s="241">
        <f t="shared" si="12"/>
        <v>0</v>
      </c>
      <c r="Q22" s="241">
        <f t="shared" si="12"/>
        <v>0</v>
      </c>
      <c r="R22" s="241">
        <f>R23+R24</f>
        <v>0</v>
      </c>
      <c r="S22" s="241">
        <f t="shared" si="12"/>
        <v>21570983</v>
      </c>
      <c r="T22" s="264">
        <v>0</v>
      </c>
      <c r="U22" s="265" t="s">
        <v>31</v>
      </c>
      <c r="V22" s="261">
        <f t="shared" si="11"/>
        <v>-21570983</v>
      </c>
      <c r="AA22" s="276"/>
    </row>
    <row r="23" spans="1:27" ht="13.9" customHeight="1" x14ac:dyDescent="0.2">
      <c r="A23" s="5"/>
      <c r="B23" s="5">
        <v>99</v>
      </c>
      <c r="C23" s="7" t="s">
        <v>28</v>
      </c>
      <c r="D23" s="7"/>
      <c r="E23" s="7"/>
      <c r="F23" s="160" t="s">
        <v>364</v>
      </c>
      <c r="G23" s="161">
        <v>111332</v>
      </c>
      <c r="H23" s="161">
        <v>569600</v>
      </c>
      <c r="I23" s="161">
        <v>9474000</v>
      </c>
      <c r="J23" s="161">
        <v>169352</v>
      </c>
      <c r="K23" s="161"/>
      <c r="L23" s="161"/>
      <c r="M23" s="161"/>
      <c r="N23" s="161"/>
      <c r="O23" s="161"/>
      <c r="P23" s="161"/>
      <c r="Q23" s="161"/>
      <c r="R23" s="161"/>
      <c r="S23" s="161">
        <f>SUM(G23:R23)</f>
        <v>10324284</v>
      </c>
      <c r="T23" s="133">
        <v>0</v>
      </c>
      <c r="U23" s="49" t="s">
        <v>31</v>
      </c>
      <c r="V23" s="163">
        <f t="shared" si="11"/>
        <v>-10324284</v>
      </c>
      <c r="AA23" s="276"/>
    </row>
    <row r="24" spans="1:27" ht="13.9" customHeight="1" thickBot="1" x14ac:dyDescent="0.25">
      <c r="A24" s="5"/>
      <c r="B24" s="5">
        <v>99</v>
      </c>
      <c r="C24" s="5">
        <v>999</v>
      </c>
      <c r="D24" s="7" t="s">
        <v>29</v>
      </c>
      <c r="E24" s="7"/>
      <c r="F24" s="160" t="s">
        <v>365</v>
      </c>
      <c r="G24" s="71">
        <v>3220967</v>
      </c>
      <c r="H24" s="161">
        <v>-1364984</v>
      </c>
      <c r="I24" s="71">
        <v>1171611</v>
      </c>
      <c r="J24" s="71">
        <v>8219105</v>
      </c>
      <c r="K24" s="6"/>
      <c r="L24" s="6"/>
      <c r="M24" s="6"/>
      <c r="N24" s="6"/>
      <c r="O24" s="6"/>
      <c r="P24" s="6"/>
      <c r="Q24" s="6"/>
      <c r="R24" s="6"/>
      <c r="S24" s="161">
        <f>SUM(G24:R24)</f>
        <v>11246699</v>
      </c>
      <c r="T24" s="133">
        <v>0</v>
      </c>
      <c r="U24" s="49" t="s">
        <v>31</v>
      </c>
      <c r="V24" s="163">
        <f>+T24-S24</f>
        <v>-11246699</v>
      </c>
      <c r="AA24" s="276"/>
    </row>
    <row r="25" spans="1:27" ht="15.95" customHeight="1" x14ac:dyDescent="0.2">
      <c r="A25" s="229" t="s">
        <v>39</v>
      </c>
      <c r="B25" s="230"/>
      <c r="C25" s="230"/>
      <c r="D25" s="230"/>
      <c r="E25" s="230"/>
      <c r="F25" s="231" t="s">
        <v>40</v>
      </c>
      <c r="G25" s="232">
        <f t="shared" ref="G25:S25" si="13">+G26+G27</f>
        <v>21912420032</v>
      </c>
      <c r="H25" s="232">
        <f t="shared" ref="H25:I25" si="14">+H26+H27</f>
        <v>22481561316</v>
      </c>
      <c r="I25" s="232">
        <f t="shared" si="14"/>
        <v>45408590292</v>
      </c>
      <c r="J25" s="232">
        <f t="shared" ref="J25:R25" si="15">+J26+J27</f>
        <v>24291533181</v>
      </c>
      <c r="K25" s="232">
        <f t="shared" si="15"/>
        <v>0</v>
      </c>
      <c r="L25" s="232">
        <f t="shared" si="15"/>
        <v>0</v>
      </c>
      <c r="M25" s="232">
        <f t="shared" si="15"/>
        <v>0</v>
      </c>
      <c r="N25" s="232">
        <f t="shared" si="15"/>
        <v>0</v>
      </c>
      <c r="O25" s="232">
        <f t="shared" si="15"/>
        <v>0</v>
      </c>
      <c r="P25" s="232">
        <f t="shared" si="15"/>
        <v>0</v>
      </c>
      <c r="Q25" s="232">
        <f t="shared" si="15"/>
        <v>0</v>
      </c>
      <c r="R25" s="232">
        <f t="shared" si="15"/>
        <v>0</v>
      </c>
      <c r="S25" s="232">
        <f t="shared" si="13"/>
        <v>114094104821</v>
      </c>
      <c r="T25" s="232">
        <f>+T26+T27</f>
        <v>280925228000</v>
      </c>
      <c r="U25" s="233">
        <f>+S25/T25</f>
        <v>0.40613691277666242</v>
      </c>
      <c r="V25" s="234">
        <f>+V26+V27</f>
        <v>166831123179</v>
      </c>
      <c r="AA25" s="276"/>
    </row>
    <row r="26" spans="1:27" ht="13.9" customHeight="1" x14ac:dyDescent="0.2">
      <c r="A26" s="5"/>
      <c r="B26" s="7" t="s">
        <v>26</v>
      </c>
      <c r="C26" s="7" t="s">
        <v>28</v>
      </c>
      <c r="D26" s="7" t="s">
        <v>29</v>
      </c>
      <c r="E26" s="7"/>
      <c r="F26" s="160" t="s">
        <v>41</v>
      </c>
      <c r="G26" s="33">
        <v>14656713702</v>
      </c>
      <c r="H26" s="161">
        <v>17198039598</v>
      </c>
      <c r="I26" s="161">
        <v>42042111716</v>
      </c>
      <c r="J26" s="161">
        <v>17913215705</v>
      </c>
      <c r="K26" s="161"/>
      <c r="L26" s="161"/>
      <c r="M26" s="161"/>
      <c r="N26" s="161"/>
      <c r="O26" s="161"/>
      <c r="P26" s="161"/>
      <c r="Q26" s="161"/>
      <c r="R26" s="161"/>
      <c r="S26" s="161">
        <f>SUM(G26:R26)</f>
        <v>91810080721</v>
      </c>
      <c r="T26" s="33">
        <v>215985491000</v>
      </c>
      <c r="U26" s="49">
        <f>+S26/T26</f>
        <v>0.42507522285837246</v>
      </c>
      <c r="V26" s="163">
        <f>+T26-S26</f>
        <v>124175410279</v>
      </c>
      <c r="AA26" s="276"/>
    </row>
    <row r="27" spans="1:27" ht="13.9" customHeight="1" thickBot="1" x14ac:dyDescent="0.25">
      <c r="A27" s="5"/>
      <c r="B27" s="7" t="s">
        <v>26</v>
      </c>
      <c r="C27" s="7" t="s">
        <v>32</v>
      </c>
      <c r="D27" s="7" t="s">
        <v>29</v>
      </c>
      <c r="E27" s="7"/>
      <c r="F27" s="160" t="s">
        <v>42</v>
      </c>
      <c r="G27" s="33">
        <v>7255706330</v>
      </c>
      <c r="H27" s="161">
        <v>5283521718</v>
      </c>
      <c r="I27" s="161">
        <v>3366478576</v>
      </c>
      <c r="J27" s="161">
        <v>6378317476</v>
      </c>
      <c r="K27" s="161"/>
      <c r="L27" s="161"/>
      <c r="M27" s="161"/>
      <c r="N27" s="161"/>
      <c r="O27" s="161"/>
      <c r="P27" s="161"/>
      <c r="Q27" s="161"/>
      <c r="R27" s="161"/>
      <c r="S27" s="161">
        <f>SUM(G27:R27)</f>
        <v>22284024100</v>
      </c>
      <c r="T27" s="33">
        <v>64939737000</v>
      </c>
      <c r="U27" s="49">
        <f>+S27/T27</f>
        <v>0.34314928161781744</v>
      </c>
      <c r="V27" s="163">
        <f>+T27-S27</f>
        <v>42655712900</v>
      </c>
      <c r="AA27" s="276"/>
    </row>
    <row r="28" spans="1:27" ht="15.95" customHeight="1" x14ac:dyDescent="0.2">
      <c r="A28" s="229">
        <v>10</v>
      </c>
      <c r="B28" s="230"/>
      <c r="C28" s="230"/>
      <c r="D28" s="230"/>
      <c r="E28" s="230"/>
      <c r="F28" s="231" t="s">
        <v>43</v>
      </c>
      <c r="G28" s="232">
        <f t="shared" ref="G28:T28" si="16">SUM(G29:G32)</f>
        <v>0</v>
      </c>
      <c r="H28" s="232">
        <f t="shared" ref="H28:I28" si="17">SUM(H29:H32)</f>
        <v>0</v>
      </c>
      <c r="I28" s="232">
        <f t="shared" si="17"/>
        <v>0</v>
      </c>
      <c r="J28" s="232">
        <f t="shared" ref="J28:R28" si="18">SUM(J29:J32)</f>
        <v>0</v>
      </c>
      <c r="K28" s="232">
        <f t="shared" si="18"/>
        <v>0</v>
      </c>
      <c r="L28" s="232">
        <f t="shared" si="18"/>
        <v>0</v>
      </c>
      <c r="M28" s="232">
        <f t="shared" si="18"/>
        <v>0</v>
      </c>
      <c r="N28" s="232">
        <f t="shared" si="18"/>
        <v>0</v>
      </c>
      <c r="O28" s="232">
        <f t="shared" si="18"/>
        <v>0</v>
      </c>
      <c r="P28" s="232">
        <f t="shared" si="18"/>
        <v>0</v>
      </c>
      <c r="Q28" s="232">
        <f t="shared" si="18"/>
        <v>0</v>
      </c>
      <c r="R28" s="232">
        <f t="shared" si="18"/>
        <v>0</v>
      </c>
      <c r="S28" s="232">
        <f t="shared" si="16"/>
        <v>0</v>
      </c>
      <c r="T28" s="232">
        <f t="shared" si="16"/>
        <v>0</v>
      </c>
      <c r="U28" s="233" t="s">
        <v>31</v>
      </c>
      <c r="V28" s="234">
        <f>SUM(V29:V32)</f>
        <v>0</v>
      </c>
      <c r="AA28" s="276"/>
    </row>
    <row r="29" spans="1:27" x14ac:dyDescent="0.2">
      <c r="A29" s="5"/>
      <c r="B29" s="7" t="s">
        <v>44</v>
      </c>
      <c r="C29" s="7" t="s">
        <v>29</v>
      </c>
      <c r="D29" s="7" t="s">
        <v>28</v>
      </c>
      <c r="E29" s="7"/>
      <c r="F29" s="160" t="s">
        <v>45</v>
      </c>
      <c r="G29" s="161">
        <v>0</v>
      </c>
      <c r="H29" s="161">
        <v>0</v>
      </c>
      <c r="I29" s="161">
        <v>0</v>
      </c>
      <c r="J29" s="161">
        <v>0</v>
      </c>
      <c r="K29" s="216"/>
      <c r="L29" s="161"/>
      <c r="M29" s="161"/>
      <c r="N29" s="161"/>
      <c r="O29" s="161"/>
      <c r="P29" s="161"/>
      <c r="Q29" s="161"/>
      <c r="R29" s="161"/>
      <c r="S29" s="161">
        <f>SUM(G29:R29)</f>
        <v>0</v>
      </c>
      <c r="T29" s="132">
        <v>0</v>
      </c>
      <c r="U29" s="49" t="s">
        <v>31</v>
      </c>
      <c r="V29" s="163">
        <f>+T29-S29</f>
        <v>0</v>
      </c>
      <c r="AA29" s="276"/>
    </row>
    <row r="30" spans="1:27" ht="13.9" customHeight="1" x14ac:dyDescent="0.2">
      <c r="A30" s="5"/>
      <c r="B30" s="7" t="s">
        <v>46</v>
      </c>
      <c r="C30" s="7" t="s">
        <v>29</v>
      </c>
      <c r="D30" s="7" t="s">
        <v>28</v>
      </c>
      <c r="E30" s="7"/>
      <c r="F30" s="160" t="s">
        <v>47</v>
      </c>
      <c r="G30" s="161">
        <v>0</v>
      </c>
      <c r="H30" s="161">
        <v>0</v>
      </c>
      <c r="I30" s="161">
        <v>0</v>
      </c>
      <c r="J30" s="161">
        <v>0</v>
      </c>
      <c r="K30" s="161"/>
      <c r="L30" s="161"/>
      <c r="M30" s="161"/>
      <c r="N30" s="161"/>
      <c r="O30" s="161"/>
      <c r="P30" s="161"/>
      <c r="Q30" s="161"/>
      <c r="R30" s="161"/>
      <c r="S30" s="161">
        <f>SUM(G30:R30)</f>
        <v>0</v>
      </c>
      <c r="T30" s="132">
        <v>0</v>
      </c>
      <c r="U30" s="49" t="s">
        <v>31</v>
      </c>
      <c r="V30" s="163">
        <f>+T30-S30</f>
        <v>0</v>
      </c>
      <c r="AA30" s="276"/>
    </row>
    <row r="31" spans="1:27" ht="13.9" customHeight="1" x14ac:dyDescent="0.2">
      <c r="A31" s="5"/>
      <c r="B31" s="7" t="s">
        <v>48</v>
      </c>
      <c r="C31" s="7" t="s">
        <v>29</v>
      </c>
      <c r="D31" s="7" t="s">
        <v>28</v>
      </c>
      <c r="E31" s="7"/>
      <c r="F31" s="160" t="s">
        <v>49</v>
      </c>
      <c r="G31" s="161">
        <v>0</v>
      </c>
      <c r="H31" s="161">
        <v>0</v>
      </c>
      <c r="I31" s="161">
        <v>0</v>
      </c>
      <c r="J31" s="161">
        <v>0</v>
      </c>
      <c r="K31" s="161"/>
      <c r="L31" s="161"/>
      <c r="M31" s="161"/>
      <c r="N31" s="161"/>
      <c r="O31" s="161"/>
      <c r="P31" s="161"/>
      <c r="Q31" s="161"/>
      <c r="R31" s="161"/>
      <c r="S31" s="161">
        <f>SUM(G31:R31)</f>
        <v>0</v>
      </c>
      <c r="T31" s="133">
        <v>0</v>
      </c>
      <c r="U31" s="49" t="s">
        <v>31</v>
      </c>
      <c r="V31" s="163">
        <f>+T31-S31</f>
        <v>0</v>
      </c>
      <c r="AA31" s="276"/>
    </row>
    <row r="32" spans="1:27" ht="15" thickBot="1" x14ac:dyDescent="0.25">
      <c r="A32" s="5"/>
      <c r="B32" s="7" t="s">
        <v>50</v>
      </c>
      <c r="C32" s="7" t="s">
        <v>29</v>
      </c>
      <c r="D32" s="7" t="s">
        <v>29</v>
      </c>
      <c r="E32" s="7"/>
      <c r="F32" s="160" t="s">
        <v>51</v>
      </c>
      <c r="G32" s="161">
        <v>0</v>
      </c>
      <c r="H32" s="161">
        <v>0</v>
      </c>
      <c r="I32" s="161">
        <v>0</v>
      </c>
      <c r="J32" s="161">
        <v>0</v>
      </c>
      <c r="K32" s="161"/>
      <c r="L32" s="161"/>
      <c r="M32" s="161"/>
      <c r="N32" s="161"/>
      <c r="O32" s="161"/>
      <c r="P32" s="161"/>
      <c r="Q32" s="161"/>
      <c r="R32" s="161"/>
      <c r="S32" s="161">
        <f>SUM(G32:R32)</f>
        <v>0</v>
      </c>
      <c r="T32" s="133">
        <v>0</v>
      </c>
      <c r="U32" s="49" t="s">
        <v>31</v>
      </c>
      <c r="V32" s="163">
        <f>+T32-S32</f>
        <v>0</v>
      </c>
      <c r="AA32" s="276"/>
    </row>
    <row r="33" spans="1:27" ht="15.95" customHeight="1" x14ac:dyDescent="0.2">
      <c r="A33" s="229">
        <v>12</v>
      </c>
      <c r="B33" s="230"/>
      <c r="C33" s="230"/>
      <c r="D33" s="230"/>
      <c r="E33" s="230"/>
      <c r="F33" s="231" t="s">
        <v>52</v>
      </c>
      <c r="G33" s="232">
        <f>+G34+G35</f>
        <v>1939927180</v>
      </c>
      <c r="H33" s="232">
        <f t="shared" ref="H33:I33" si="19">+H34+H35</f>
        <v>0</v>
      </c>
      <c r="I33" s="232">
        <f t="shared" si="19"/>
        <v>0</v>
      </c>
      <c r="J33" s="232">
        <f t="shared" ref="J33:R33" si="20">+J34+J35</f>
        <v>0</v>
      </c>
      <c r="K33" s="232">
        <f t="shared" si="20"/>
        <v>0</v>
      </c>
      <c r="L33" s="232">
        <f t="shared" si="20"/>
        <v>0</v>
      </c>
      <c r="M33" s="232">
        <f t="shared" si="20"/>
        <v>0</v>
      </c>
      <c r="N33" s="232">
        <f t="shared" si="20"/>
        <v>0</v>
      </c>
      <c r="O33" s="232">
        <f t="shared" si="20"/>
        <v>0</v>
      </c>
      <c r="P33" s="232">
        <f t="shared" si="20"/>
        <v>0</v>
      </c>
      <c r="Q33" s="232">
        <f t="shared" si="20"/>
        <v>0</v>
      </c>
      <c r="R33" s="232">
        <f t="shared" si="20"/>
        <v>0</v>
      </c>
      <c r="S33" s="232">
        <f>+S34+S35</f>
        <v>1939927180</v>
      </c>
      <c r="T33" s="232">
        <f>+T34+T35</f>
        <v>0</v>
      </c>
      <c r="U33" s="233" t="s">
        <v>31</v>
      </c>
      <c r="V33" s="234">
        <f>+V34+V35</f>
        <v>-1939927180</v>
      </c>
      <c r="AA33" s="276"/>
    </row>
    <row r="34" spans="1:27" ht="13.9" customHeight="1" x14ac:dyDescent="0.2">
      <c r="A34" s="5"/>
      <c r="B34" s="7" t="s">
        <v>50</v>
      </c>
      <c r="C34" s="7" t="s">
        <v>29</v>
      </c>
      <c r="D34" s="7" t="s">
        <v>29</v>
      </c>
      <c r="E34" s="7"/>
      <c r="F34" s="160" t="s">
        <v>421</v>
      </c>
      <c r="G34" s="161">
        <v>0</v>
      </c>
      <c r="H34" s="161">
        <v>0</v>
      </c>
      <c r="I34" s="161">
        <v>0</v>
      </c>
      <c r="J34" s="161">
        <v>0</v>
      </c>
      <c r="K34" s="161"/>
      <c r="L34" s="161"/>
      <c r="M34" s="161"/>
      <c r="N34" s="161"/>
      <c r="O34" s="161"/>
      <c r="P34" s="161"/>
      <c r="Q34" s="161"/>
      <c r="R34" s="161"/>
      <c r="S34" s="161">
        <f>SUM(G34:R34)</f>
        <v>0</v>
      </c>
      <c r="T34" s="132">
        <v>0</v>
      </c>
      <c r="U34" s="49" t="s">
        <v>31</v>
      </c>
      <c r="V34" s="163">
        <f>+T34-S34</f>
        <v>0</v>
      </c>
      <c r="AA34" s="276"/>
    </row>
    <row r="35" spans="1:27" ht="13.9" customHeight="1" thickBot="1" x14ac:dyDescent="0.25">
      <c r="A35" s="5"/>
      <c r="B35" s="7">
        <v>10</v>
      </c>
      <c r="C35" s="7" t="s">
        <v>29</v>
      </c>
      <c r="D35" s="7" t="s">
        <v>29</v>
      </c>
      <c r="E35" s="7"/>
      <c r="F35" s="160" t="s">
        <v>53</v>
      </c>
      <c r="G35" s="161">
        <v>1939927180</v>
      </c>
      <c r="H35" s="161">
        <v>0</v>
      </c>
      <c r="I35" s="161">
        <v>0</v>
      </c>
      <c r="J35" s="161">
        <v>0</v>
      </c>
      <c r="K35" s="161"/>
      <c r="L35" s="161"/>
      <c r="M35" s="161"/>
      <c r="N35" s="161"/>
      <c r="O35" s="161"/>
      <c r="P35" s="161"/>
      <c r="Q35" s="161"/>
      <c r="R35" s="161"/>
      <c r="S35" s="161">
        <f>SUM(G35:R35)</f>
        <v>1939927180</v>
      </c>
      <c r="T35" s="132">
        <v>0</v>
      </c>
      <c r="U35" s="49" t="s">
        <v>31</v>
      </c>
      <c r="V35" s="163">
        <f>+T35-S35</f>
        <v>-1939927180</v>
      </c>
      <c r="AA35" s="276"/>
    </row>
    <row r="36" spans="1:27" ht="15.95" customHeight="1" x14ac:dyDescent="0.2">
      <c r="A36" s="229">
        <v>13</v>
      </c>
      <c r="B36" s="230"/>
      <c r="C36" s="230"/>
      <c r="D36" s="230"/>
      <c r="E36" s="230"/>
      <c r="F36" s="231" t="s">
        <v>417</v>
      </c>
      <c r="G36" s="232">
        <f t="shared" ref="G36:Q36" si="21">+G37+G38</f>
        <v>0</v>
      </c>
      <c r="H36" s="232">
        <f>H37</f>
        <v>0</v>
      </c>
      <c r="I36" s="232">
        <f>I37</f>
        <v>0</v>
      </c>
      <c r="J36" s="232"/>
      <c r="K36" s="232">
        <f t="shared" si="21"/>
        <v>0</v>
      </c>
      <c r="L36" s="232">
        <f t="shared" si="21"/>
        <v>0</v>
      </c>
      <c r="M36" s="232">
        <f t="shared" si="21"/>
        <v>0</v>
      </c>
      <c r="N36" s="232">
        <f t="shared" si="21"/>
        <v>0</v>
      </c>
      <c r="O36" s="232">
        <f t="shared" si="21"/>
        <v>0</v>
      </c>
      <c r="P36" s="232">
        <f>P37</f>
        <v>0</v>
      </c>
      <c r="Q36" s="232">
        <f t="shared" si="21"/>
        <v>0</v>
      </c>
      <c r="R36" s="232">
        <f>R37</f>
        <v>0</v>
      </c>
      <c r="S36" s="232">
        <f>+S37</f>
        <v>0</v>
      </c>
      <c r="T36" s="232">
        <f>T37</f>
        <v>0</v>
      </c>
      <c r="U36" s="233" t="s">
        <v>31</v>
      </c>
      <c r="V36" s="234">
        <f>+V37</f>
        <v>0</v>
      </c>
      <c r="AA36" s="276"/>
    </row>
    <row r="37" spans="1:27" ht="13.9" customHeight="1" x14ac:dyDescent="0.2">
      <c r="A37" s="259"/>
      <c r="B37" s="260" t="s">
        <v>34</v>
      </c>
      <c r="C37" s="260"/>
      <c r="D37" s="260"/>
      <c r="E37" s="260"/>
      <c r="F37" s="262" t="s">
        <v>418</v>
      </c>
      <c r="G37" s="263">
        <v>0</v>
      </c>
      <c r="H37" s="263">
        <f>H38</f>
        <v>0</v>
      </c>
      <c r="I37" s="263">
        <f>I38</f>
        <v>0</v>
      </c>
      <c r="J37" s="263">
        <v>0</v>
      </c>
      <c r="K37" s="263"/>
      <c r="L37" s="263"/>
      <c r="M37" s="263"/>
      <c r="N37" s="263"/>
      <c r="O37" s="263"/>
      <c r="P37" s="263">
        <f>P38+P39+P40</f>
        <v>0</v>
      </c>
      <c r="Q37" s="263"/>
      <c r="R37" s="263">
        <f>R38+R39+R40</f>
        <v>0</v>
      </c>
      <c r="S37" s="263">
        <f>SUM(G37:R37)</f>
        <v>0</v>
      </c>
      <c r="T37" s="264">
        <f>T38+T39+T40</f>
        <v>0</v>
      </c>
      <c r="U37" s="265" t="s">
        <v>31</v>
      </c>
      <c r="V37" s="261">
        <f>+T37-S37</f>
        <v>0</v>
      </c>
      <c r="AA37" s="276"/>
    </row>
    <row r="38" spans="1:27" ht="13.9" customHeight="1" x14ac:dyDescent="0.2">
      <c r="A38" s="5"/>
      <c r="B38" s="7"/>
      <c r="C38" s="7" t="s">
        <v>76</v>
      </c>
      <c r="D38" s="7" t="s">
        <v>29</v>
      </c>
      <c r="E38" s="7"/>
      <c r="F38" s="160" t="s">
        <v>468</v>
      </c>
      <c r="G38" s="161">
        <v>0</v>
      </c>
      <c r="H38" s="161">
        <v>0</v>
      </c>
      <c r="I38" s="161">
        <v>0</v>
      </c>
      <c r="J38" s="161">
        <v>0</v>
      </c>
      <c r="K38" s="161"/>
      <c r="L38" s="161"/>
      <c r="M38" s="161"/>
      <c r="N38" s="161"/>
      <c r="O38" s="161"/>
      <c r="P38" s="161"/>
      <c r="Q38" s="161"/>
      <c r="R38" s="161"/>
      <c r="S38" s="161">
        <f>SUM(G38:R38)</f>
        <v>0</v>
      </c>
      <c r="T38" s="209">
        <v>0</v>
      </c>
      <c r="U38" s="49" t="s">
        <v>31</v>
      </c>
      <c r="V38" s="163">
        <f t="shared" ref="V38:V40" si="22">+T38-S38</f>
        <v>0</v>
      </c>
      <c r="AA38" s="276"/>
    </row>
    <row r="39" spans="1:27" ht="13.9" customHeight="1" x14ac:dyDescent="0.2">
      <c r="A39" s="5"/>
      <c r="B39" s="7"/>
      <c r="C39" s="7" t="s">
        <v>399</v>
      </c>
      <c r="D39" s="7" t="s">
        <v>29</v>
      </c>
      <c r="E39" s="7"/>
      <c r="F39" s="160" t="s">
        <v>469</v>
      </c>
      <c r="G39" s="161">
        <v>0</v>
      </c>
      <c r="H39" s="161">
        <v>0</v>
      </c>
      <c r="I39" s="161">
        <v>0</v>
      </c>
      <c r="J39" s="161">
        <v>0</v>
      </c>
      <c r="K39" s="161"/>
      <c r="L39" s="161"/>
      <c r="M39" s="161"/>
      <c r="N39" s="161"/>
      <c r="O39" s="161"/>
      <c r="P39" s="161"/>
      <c r="Q39" s="161"/>
      <c r="R39" s="161"/>
      <c r="S39" s="161">
        <f>SUM(G39:R39)</f>
        <v>0</v>
      </c>
      <c r="T39" s="209">
        <v>0</v>
      </c>
      <c r="U39" s="49" t="s">
        <v>31</v>
      </c>
      <c r="V39" s="163">
        <f t="shared" si="22"/>
        <v>0</v>
      </c>
      <c r="AA39" s="276"/>
    </row>
    <row r="40" spans="1:27" ht="13.9" customHeight="1" x14ac:dyDescent="0.2">
      <c r="A40" s="5"/>
      <c r="B40" s="7"/>
      <c r="C40" s="7" t="s">
        <v>467</v>
      </c>
      <c r="D40" s="7" t="s">
        <v>29</v>
      </c>
      <c r="E40" s="7"/>
      <c r="F40" s="160" t="s">
        <v>470</v>
      </c>
      <c r="G40" s="161">
        <v>0</v>
      </c>
      <c r="H40" s="161">
        <v>0</v>
      </c>
      <c r="I40" s="161">
        <v>0</v>
      </c>
      <c r="J40" s="161">
        <v>0</v>
      </c>
      <c r="K40" s="161"/>
      <c r="L40" s="161"/>
      <c r="M40" s="161"/>
      <c r="N40" s="161"/>
      <c r="O40" s="161"/>
      <c r="P40" s="161"/>
      <c r="Q40" s="161"/>
      <c r="R40" s="161"/>
      <c r="S40" s="161">
        <f>SUM(G40:R40)</f>
        <v>0</v>
      </c>
      <c r="T40" s="209">
        <v>0</v>
      </c>
      <c r="U40" s="49" t="s">
        <v>31</v>
      </c>
      <c r="V40" s="163">
        <f t="shared" si="22"/>
        <v>0</v>
      </c>
      <c r="AA40" s="276"/>
    </row>
    <row r="41" spans="1:27" ht="13.9" customHeight="1" thickBot="1" x14ac:dyDescent="0.25">
      <c r="A41" s="5"/>
      <c r="B41" s="7"/>
      <c r="C41" s="7"/>
      <c r="D41" s="7"/>
      <c r="E41" s="7"/>
      <c r="F41" s="160"/>
      <c r="G41" s="161"/>
      <c r="H41" s="161"/>
      <c r="I41" s="161"/>
      <c r="J41" s="161"/>
      <c r="K41" s="161"/>
      <c r="L41" s="161"/>
      <c r="M41" s="161"/>
      <c r="N41" s="217"/>
      <c r="O41" s="161"/>
      <c r="P41" s="161"/>
      <c r="Q41" s="161"/>
      <c r="R41" s="161"/>
      <c r="S41" s="161"/>
      <c r="T41" s="132"/>
      <c r="U41" s="49"/>
      <c r="V41" s="163"/>
      <c r="AA41" s="276"/>
    </row>
    <row r="42" spans="1:27" ht="15.95" customHeight="1" x14ac:dyDescent="0.2">
      <c r="A42" s="229">
        <v>14</v>
      </c>
      <c r="B42" s="230"/>
      <c r="C42" s="230"/>
      <c r="D42" s="230"/>
      <c r="E42" s="230"/>
      <c r="F42" s="231" t="s">
        <v>54</v>
      </c>
      <c r="G42" s="232">
        <f t="shared" ref="G42:T42" si="23">+G43</f>
        <v>0</v>
      </c>
      <c r="H42" s="232">
        <f t="shared" si="23"/>
        <v>0</v>
      </c>
      <c r="I42" s="232">
        <f t="shared" si="23"/>
        <v>0</v>
      </c>
      <c r="J42" s="232">
        <f t="shared" si="23"/>
        <v>0</v>
      </c>
      <c r="K42" s="232">
        <f t="shared" si="23"/>
        <v>0</v>
      </c>
      <c r="L42" s="232">
        <f t="shared" si="23"/>
        <v>0</v>
      </c>
      <c r="M42" s="232">
        <f t="shared" si="23"/>
        <v>0</v>
      </c>
      <c r="N42" s="232">
        <f t="shared" si="23"/>
        <v>0</v>
      </c>
      <c r="O42" s="232">
        <f t="shared" si="23"/>
        <v>0</v>
      </c>
      <c r="P42" s="232">
        <f t="shared" si="23"/>
        <v>0</v>
      </c>
      <c r="Q42" s="232">
        <f t="shared" si="23"/>
        <v>0</v>
      </c>
      <c r="R42" s="232">
        <f t="shared" si="23"/>
        <v>0</v>
      </c>
      <c r="S42" s="232">
        <f t="shared" si="23"/>
        <v>0</v>
      </c>
      <c r="T42" s="232">
        <f t="shared" si="23"/>
        <v>0</v>
      </c>
      <c r="U42" s="233" t="s">
        <v>31</v>
      </c>
      <c r="V42" s="234">
        <f>+V43</f>
        <v>0</v>
      </c>
      <c r="AA42" s="276"/>
    </row>
    <row r="43" spans="1:27" ht="13.9" customHeight="1" thickBot="1" x14ac:dyDescent="0.25">
      <c r="A43" s="5"/>
      <c r="B43" s="7" t="s">
        <v>26</v>
      </c>
      <c r="C43" s="7" t="s">
        <v>29</v>
      </c>
      <c r="D43" s="7" t="s">
        <v>29</v>
      </c>
      <c r="E43" s="7"/>
      <c r="F43" s="160" t="s">
        <v>55</v>
      </c>
      <c r="G43" s="161">
        <v>0</v>
      </c>
      <c r="H43" s="161">
        <v>0</v>
      </c>
      <c r="I43" s="161">
        <v>0</v>
      </c>
      <c r="J43" s="161">
        <v>0</v>
      </c>
      <c r="K43" s="161"/>
      <c r="L43" s="161"/>
      <c r="M43" s="161"/>
      <c r="N43" s="161"/>
      <c r="O43" s="161"/>
      <c r="P43" s="161"/>
      <c r="Q43" s="161"/>
      <c r="R43" s="161"/>
      <c r="S43" s="161">
        <f>SUM(G43:R43)</f>
        <v>0</v>
      </c>
      <c r="T43" s="132">
        <v>0</v>
      </c>
      <c r="U43" s="49" t="s">
        <v>31</v>
      </c>
      <c r="V43" s="163">
        <f>+T43-S43</f>
        <v>0</v>
      </c>
      <c r="AA43" s="276"/>
    </row>
    <row r="44" spans="1:27" ht="15.95" customHeight="1" thickBot="1" x14ac:dyDescent="0.25">
      <c r="A44" s="229">
        <v>15</v>
      </c>
      <c r="B44" s="230" t="s">
        <v>56</v>
      </c>
      <c r="C44" s="230" t="s">
        <v>29</v>
      </c>
      <c r="D44" s="230" t="s">
        <v>29</v>
      </c>
      <c r="E44" s="230"/>
      <c r="F44" s="231" t="s">
        <v>57</v>
      </c>
      <c r="G44" s="232">
        <v>-809393797</v>
      </c>
      <c r="H44" s="232">
        <v>0</v>
      </c>
      <c r="I44" s="232">
        <v>0</v>
      </c>
      <c r="J44" s="232">
        <v>0</v>
      </c>
      <c r="K44" s="232"/>
      <c r="L44" s="232"/>
      <c r="M44" s="232"/>
      <c r="N44" s="232"/>
      <c r="O44" s="232"/>
      <c r="P44" s="232"/>
      <c r="Q44" s="232"/>
      <c r="R44" s="232"/>
      <c r="S44" s="232">
        <f>SUM(G44:R44)</f>
        <v>-809393797</v>
      </c>
      <c r="T44" s="232">
        <v>10000</v>
      </c>
      <c r="U44" s="233">
        <f>+S44/T44</f>
        <v>-80939.379700000005</v>
      </c>
      <c r="V44" s="234">
        <f>+T44-S44</f>
        <v>809403797</v>
      </c>
      <c r="AA44" s="276"/>
    </row>
    <row r="45" spans="1:27" ht="24" customHeight="1" thickBot="1" x14ac:dyDescent="0.3">
      <c r="A45" s="159"/>
      <c r="B45" s="164"/>
      <c r="C45" s="164"/>
      <c r="D45" s="164"/>
      <c r="E45" s="164"/>
      <c r="F45" s="207" t="s">
        <v>58</v>
      </c>
      <c r="G45" s="147">
        <f t="shared" ref="G45:T45" si="24">+G46+G93+G180+G186+G200+G206+G210+G245+G342+G354+G358+G369</f>
        <v>23925817934</v>
      </c>
      <c r="H45" s="147">
        <f t="shared" si="24"/>
        <v>24622576151</v>
      </c>
      <c r="I45" s="147">
        <f t="shared" si="24"/>
        <v>49304947610</v>
      </c>
      <c r="J45" s="147">
        <f t="shared" si="24"/>
        <v>23389738634</v>
      </c>
      <c r="K45" s="147">
        <f t="shared" si="24"/>
        <v>0</v>
      </c>
      <c r="L45" s="147">
        <f t="shared" si="24"/>
        <v>0</v>
      </c>
      <c r="M45" s="147">
        <f t="shared" si="24"/>
        <v>0</v>
      </c>
      <c r="N45" s="147">
        <f t="shared" si="24"/>
        <v>0</v>
      </c>
      <c r="O45" s="147">
        <f t="shared" si="24"/>
        <v>0</v>
      </c>
      <c r="P45" s="147">
        <f t="shared" si="24"/>
        <v>0</v>
      </c>
      <c r="Q45" s="147">
        <f t="shared" si="24"/>
        <v>0</v>
      </c>
      <c r="R45" s="147">
        <f t="shared" si="24"/>
        <v>0</v>
      </c>
      <c r="S45" s="147">
        <f t="shared" si="24"/>
        <v>121243080329</v>
      </c>
      <c r="T45" s="150">
        <f t="shared" si="24"/>
        <v>295374855000</v>
      </c>
      <c r="U45" s="149">
        <f t="shared" ref="U45:U65" si="25">+S45/T45</f>
        <v>0.41047190807423334</v>
      </c>
      <c r="V45" s="147">
        <f>+V46+V93+V180+V186+V200+V206+V210+V245+V342+V354+V358+V369</f>
        <v>174131774671</v>
      </c>
      <c r="AA45" s="276"/>
    </row>
    <row r="46" spans="1:27" ht="15.95" customHeight="1" x14ac:dyDescent="0.2">
      <c r="A46" s="229" t="s">
        <v>59</v>
      </c>
      <c r="B46" s="230" t="s">
        <v>59</v>
      </c>
      <c r="C46" s="230" t="s">
        <v>59</v>
      </c>
      <c r="D46" s="230" t="s">
        <v>59</v>
      </c>
      <c r="E46" s="230"/>
      <c r="F46" s="231" t="s">
        <v>60</v>
      </c>
      <c r="G46" s="232">
        <f t="shared" ref="G46:T46" si="26">+G47+G74+G90</f>
        <v>17501194932</v>
      </c>
      <c r="H46" s="232">
        <f t="shared" si="26"/>
        <v>19076600754</v>
      </c>
      <c r="I46" s="232">
        <f t="shared" si="26"/>
        <v>42510394226</v>
      </c>
      <c r="J46" s="232">
        <f t="shared" si="26"/>
        <v>17990667285</v>
      </c>
      <c r="K46" s="232">
        <f t="shared" si="26"/>
        <v>0</v>
      </c>
      <c r="L46" s="232">
        <f t="shared" si="26"/>
        <v>0</v>
      </c>
      <c r="M46" s="232">
        <f t="shared" si="26"/>
        <v>0</v>
      </c>
      <c r="N46" s="232">
        <f t="shared" si="26"/>
        <v>0</v>
      </c>
      <c r="O46" s="232">
        <f t="shared" si="26"/>
        <v>0</v>
      </c>
      <c r="P46" s="232">
        <f t="shared" si="26"/>
        <v>0</v>
      </c>
      <c r="Q46" s="232">
        <f t="shared" si="26"/>
        <v>0</v>
      </c>
      <c r="R46" s="232">
        <f t="shared" si="26"/>
        <v>0</v>
      </c>
      <c r="S46" s="232">
        <f t="shared" si="26"/>
        <v>97078857197</v>
      </c>
      <c r="T46" s="232">
        <f t="shared" si="26"/>
        <v>215985491000</v>
      </c>
      <c r="U46" s="233">
        <f t="shared" si="25"/>
        <v>0.44946934512837255</v>
      </c>
      <c r="V46" s="234">
        <f>+V47+V74+V90</f>
        <v>118906633803</v>
      </c>
      <c r="AA46" s="276"/>
    </row>
    <row r="47" spans="1:27" ht="13.9" customHeight="1" x14ac:dyDescent="0.2">
      <c r="A47" s="257">
        <v>21</v>
      </c>
      <c r="B47" s="236" t="s">
        <v>26</v>
      </c>
      <c r="C47" s="257" t="s">
        <v>59</v>
      </c>
      <c r="D47" s="257" t="s">
        <v>59</v>
      </c>
      <c r="E47" s="257"/>
      <c r="F47" s="258" t="s">
        <v>61</v>
      </c>
      <c r="G47" s="239">
        <f t="shared" ref="G47:T47" si="27">+G48+G59+G62+G65+G69</f>
        <v>5848779746</v>
      </c>
      <c r="H47" s="239">
        <f t="shared" si="27"/>
        <v>6216468526</v>
      </c>
      <c r="I47" s="239">
        <f t="shared" si="27"/>
        <v>14098275614</v>
      </c>
      <c r="J47" s="239">
        <f t="shared" si="27"/>
        <v>5959328604</v>
      </c>
      <c r="K47" s="239">
        <f t="shared" si="27"/>
        <v>0</v>
      </c>
      <c r="L47" s="239">
        <f t="shared" si="27"/>
        <v>0</v>
      </c>
      <c r="M47" s="239">
        <f t="shared" si="27"/>
        <v>0</v>
      </c>
      <c r="N47" s="239">
        <f t="shared" si="27"/>
        <v>0</v>
      </c>
      <c r="O47" s="239">
        <f t="shared" si="27"/>
        <v>0</v>
      </c>
      <c r="P47" s="239">
        <f t="shared" si="27"/>
        <v>0</v>
      </c>
      <c r="Q47" s="239">
        <f t="shared" si="27"/>
        <v>0</v>
      </c>
      <c r="R47" s="239">
        <f t="shared" si="27"/>
        <v>0</v>
      </c>
      <c r="S47" s="239">
        <f t="shared" si="27"/>
        <v>32122852490</v>
      </c>
      <c r="T47" s="244">
        <f t="shared" si="27"/>
        <v>71942128319</v>
      </c>
      <c r="U47" s="242">
        <f>+S47/T47</f>
        <v>0.44650962156086671</v>
      </c>
      <c r="V47" s="246">
        <f>+V48+V59+V62+V65+V69</f>
        <v>39819275829</v>
      </c>
      <c r="AA47" s="276"/>
    </row>
    <row r="48" spans="1:27" ht="13.9" customHeight="1" x14ac:dyDescent="0.2">
      <c r="A48" s="1" t="s">
        <v>59</v>
      </c>
      <c r="B48" s="1" t="s">
        <v>59</v>
      </c>
      <c r="C48" s="2" t="s">
        <v>28</v>
      </c>
      <c r="D48" s="2" t="s">
        <v>59</v>
      </c>
      <c r="E48" s="2"/>
      <c r="F48" s="3" t="s">
        <v>62</v>
      </c>
      <c r="G48" s="9">
        <f t="shared" ref="G48:T48" si="28">G49+G50+G51+G52+G53+G54+G55+G56+G57+G58</f>
        <v>5460743173</v>
      </c>
      <c r="H48" s="9">
        <f t="shared" si="28"/>
        <v>5825932353</v>
      </c>
      <c r="I48" s="9">
        <f t="shared" si="28"/>
        <v>5606698739</v>
      </c>
      <c r="J48" s="9">
        <f t="shared" si="28"/>
        <v>5551424769</v>
      </c>
      <c r="K48" s="9">
        <f t="shared" si="28"/>
        <v>0</v>
      </c>
      <c r="L48" s="9">
        <f t="shared" si="28"/>
        <v>0</v>
      </c>
      <c r="M48" s="9">
        <f t="shared" si="28"/>
        <v>0</v>
      </c>
      <c r="N48" s="9">
        <f t="shared" si="28"/>
        <v>0</v>
      </c>
      <c r="O48" s="9">
        <f t="shared" si="28"/>
        <v>0</v>
      </c>
      <c r="P48" s="9">
        <f t="shared" si="28"/>
        <v>0</v>
      </c>
      <c r="Q48" s="9">
        <f t="shared" si="28"/>
        <v>0</v>
      </c>
      <c r="R48" s="9">
        <f t="shared" si="28"/>
        <v>0</v>
      </c>
      <c r="S48" s="9">
        <f t="shared" si="28"/>
        <v>22444799034</v>
      </c>
      <c r="T48" s="9">
        <f t="shared" si="28"/>
        <v>65412256888</v>
      </c>
      <c r="U48" s="50">
        <f>+S48/T48</f>
        <v>0.34312833866029685</v>
      </c>
      <c r="V48" s="48">
        <f>SUM(V49:V58)</f>
        <v>42967457854</v>
      </c>
      <c r="AA48" s="276"/>
    </row>
    <row r="49" spans="1:27" ht="14.45" customHeight="1" x14ac:dyDescent="0.2">
      <c r="A49" s="165" t="s">
        <v>59</v>
      </c>
      <c r="B49" s="1" t="s">
        <v>59</v>
      </c>
      <c r="C49" s="2" t="s">
        <v>59</v>
      </c>
      <c r="D49" s="2" t="s">
        <v>28</v>
      </c>
      <c r="E49" s="2"/>
      <c r="F49" s="166" t="s">
        <v>434</v>
      </c>
      <c r="G49" s="33">
        <v>740306953</v>
      </c>
      <c r="H49" s="33">
        <v>754815130</v>
      </c>
      <c r="I49" s="33">
        <v>753859725</v>
      </c>
      <c r="J49" s="33">
        <v>751283117</v>
      </c>
      <c r="K49" s="33"/>
      <c r="L49" s="33"/>
      <c r="M49" s="33"/>
      <c r="N49" s="33"/>
      <c r="O49" s="33"/>
      <c r="P49" s="33"/>
      <c r="Q49" s="33"/>
      <c r="R49" s="33"/>
      <c r="S49" s="33">
        <f t="shared" ref="S49:S57" si="29">SUM(G49:R49)</f>
        <v>3000264925</v>
      </c>
      <c r="T49" s="33">
        <v>8535776115</v>
      </c>
      <c r="U49" s="51">
        <f t="shared" si="25"/>
        <v>0.35149292631136447</v>
      </c>
      <c r="V49" s="163">
        <f t="shared" ref="V49:V58" si="30">+T49-S49</f>
        <v>5535511190</v>
      </c>
      <c r="AA49" s="276"/>
    </row>
    <row r="50" spans="1:27" x14ac:dyDescent="0.2">
      <c r="A50" s="165" t="s">
        <v>59</v>
      </c>
      <c r="B50" s="1" t="s">
        <v>59</v>
      </c>
      <c r="C50" s="2" t="s">
        <v>59</v>
      </c>
      <c r="D50" s="2" t="s">
        <v>32</v>
      </c>
      <c r="E50" s="2"/>
      <c r="F50" s="166" t="s">
        <v>435</v>
      </c>
      <c r="G50" s="33">
        <v>33876961</v>
      </c>
      <c r="H50" s="33">
        <v>34729015</v>
      </c>
      <c r="I50" s="33">
        <v>34931482</v>
      </c>
      <c r="J50" s="33">
        <v>35139073</v>
      </c>
      <c r="K50" s="33"/>
      <c r="L50" s="33"/>
      <c r="M50" s="33"/>
      <c r="N50" s="33"/>
      <c r="O50" s="33"/>
      <c r="P50" s="33"/>
      <c r="Q50" s="33"/>
      <c r="R50" s="33"/>
      <c r="S50" s="33">
        <f t="shared" si="29"/>
        <v>138676531</v>
      </c>
      <c r="T50" s="33">
        <v>313002129</v>
      </c>
      <c r="U50" s="51">
        <f t="shared" si="25"/>
        <v>0.44305299597498904</v>
      </c>
      <c r="V50" s="163">
        <f t="shared" si="30"/>
        <v>174325598</v>
      </c>
      <c r="AA50" s="276"/>
    </row>
    <row r="51" spans="1:27" x14ac:dyDescent="0.2">
      <c r="A51" s="165" t="s">
        <v>59</v>
      </c>
      <c r="B51" s="1" t="s">
        <v>59</v>
      </c>
      <c r="C51" s="2" t="s">
        <v>59</v>
      </c>
      <c r="D51" s="2" t="s">
        <v>63</v>
      </c>
      <c r="E51" s="2"/>
      <c r="F51" s="166" t="s">
        <v>436</v>
      </c>
      <c r="G51" s="33">
        <v>592225209</v>
      </c>
      <c r="H51" s="33">
        <v>603852083</v>
      </c>
      <c r="I51" s="33">
        <v>603087761</v>
      </c>
      <c r="J51" s="33">
        <v>601026476</v>
      </c>
      <c r="K51" s="33"/>
      <c r="L51" s="33"/>
      <c r="M51" s="33"/>
      <c r="N51" s="33"/>
      <c r="O51" s="33"/>
      <c r="P51" s="33"/>
      <c r="Q51" s="33"/>
      <c r="R51" s="33"/>
      <c r="S51" s="33">
        <f t="shared" si="29"/>
        <v>2400191529</v>
      </c>
      <c r="T51" s="33">
        <v>7176576316</v>
      </c>
      <c r="U51" s="51">
        <f t="shared" si="25"/>
        <v>0.33444799070119718</v>
      </c>
      <c r="V51" s="163">
        <f t="shared" si="30"/>
        <v>4776384787</v>
      </c>
      <c r="AA51" s="276"/>
    </row>
    <row r="52" spans="1:27" x14ac:dyDescent="0.2">
      <c r="A52" s="165" t="s">
        <v>59</v>
      </c>
      <c r="B52" s="1" t="s">
        <v>59</v>
      </c>
      <c r="C52" s="2" t="s">
        <v>59</v>
      </c>
      <c r="D52" s="2" t="s">
        <v>64</v>
      </c>
      <c r="E52" s="2"/>
      <c r="F52" s="166" t="s">
        <v>437</v>
      </c>
      <c r="G52" s="33">
        <v>159884650</v>
      </c>
      <c r="H52" s="33">
        <v>161696971</v>
      </c>
      <c r="I52" s="33">
        <v>160413030</v>
      </c>
      <c r="J52" s="33">
        <v>159614813</v>
      </c>
      <c r="K52" s="33"/>
      <c r="L52" s="33"/>
      <c r="M52" s="33"/>
      <c r="N52" s="33"/>
      <c r="O52" s="33"/>
      <c r="P52" s="33"/>
      <c r="Q52" s="33"/>
      <c r="R52" s="33"/>
      <c r="S52" s="33">
        <f t="shared" si="29"/>
        <v>641609464</v>
      </c>
      <c r="T52" s="33">
        <v>1912656155</v>
      </c>
      <c r="U52" s="51">
        <f t="shared" si="25"/>
        <v>0.33545468291450431</v>
      </c>
      <c r="V52" s="163">
        <f t="shared" si="30"/>
        <v>1271046691</v>
      </c>
      <c r="AA52" s="276"/>
    </row>
    <row r="53" spans="1:27" x14ac:dyDescent="0.2">
      <c r="A53" s="165" t="s">
        <v>59</v>
      </c>
      <c r="B53" s="1" t="s">
        <v>59</v>
      </c>
      <c r="C53" s="2" t="s">
        <v>59</v>
      </c>
      <c r="D53" s="2" t="s">
        <v>65</v>
      </c>
      <c r="E53" s="2"/>
      <c r="F53" s="166" t="s">
        <v>438</v>
      </c>
      <c r="G53" s="33">
        <v>341624032</v>
      </c>
      <c r="H53" s="33">
        <v>350377053</v>
      </c>
      <c r="I53" s="33">
        <v>351472759</v>
      </c>
      <c r="J53" s="33">
        <v>347487014</v>
      </c>
      <c r="K53" s="33"/>
      <c r="L53" s="33"/>
      <c r="M53" s="33"/>
      <c r="N53" s="33"/>
      <c r="O53" s="33"/>
      <c r="P53" s="33"/>
      <c r="Q53" s="33"/>
      <c r="R53" s="33"/>
      <c r="S53" s="33">
        <f t="shared" si="29"/>
        <v>1390960858</v>
      </c>
      <c r="T53" s="33">
        <v>4139148483</v>
      </c>
      <c r="U53" s="51">
        <f t="shared" si="25"/>
        <v>0.33605000248549916</v>
      </c>
      <c r="V53" s="163">
        <f t="shared" si="30"/>
        <v>2748187625</v>
      </c>
      <c r="AA53" s="276"/>
    </row>
    <row r="54" spans="1:27" x14ac:dyDescent="0.2">
      <c r="A54" s="165" t="s">
        <v>59</v>
      </c>
      <c r="B54" s="1" t="s">
        <v>59</v>
      </c>
      <c r="C54" s="2" t="s">
        <v>59</v>
      </c>
      <c r="D54" s="2" t="s">
        <v>66</v>
      </c>
      <c r="E54" s="2"/>
      <c r="F54" s="166" t="s">
        <v>439</v>
      </c>
      <c r="G54" s="33">
        <v>11107996</v>
      </c>
      <c r="H54" s="33">
        <v>11673149</v>
      </c>
      <c r="I54" s="33">
        <v>11479098</v>
      </c>
      <c r="J54" s="33">
        <v>11284107</v>
      </c>
      <c r="K54" s="33"/>
      <c r="L54" s="33"/>
      <c r="M54" s="33"/>
      <c r="N54" s="33"/>
      <c r="O54" s="33"/>
      <c r="P54" s="33"/>
      <c r="Q54" s="33"/>
      <c r="R54" s="33"/>
      <c r="S54" s="33">
        <f t="shared" si="29"/>
        <v>45544350</v>
      </c>
      <c r="T54" s="33">
        <v>127848348</v>
      </c>
      <c r="U54" s="51">
        <f t="shared" si="25"/>
        <v>0.35623729764580142</v>
      </c>
      <c r="V54" s="163">
        <f t="shared" si="30"/>
        <v>82303998</v>
      </c>
      <c r="AA54" s="276"/>
    </row>
    <row r="55" spans="1:27" x14ac:dyDescent="0.2">
      <c r="A55" s="165" t="s">
        <v>59</v>
      </c>
      <c r="B55" s="1" t="s">
        <v>59</v>
      </c>
      <c r="C55" s="2" t="s">
        <v>59</v>
      </c>
      <c r="D55" s="2" t="s">
        <v>67</v>
      </c>
      <c r="E55" s="2"/>
      <c r="F55" s="166" t="s">
        <v>440</v>
      </c>
      <c r="G55" s="33">
        <v>2728262250</v>
      </c>
      <c r="H55" s="33">
        <v>2784885051</v>
      </c>
      <c r="I55" s="33">
        <v>2780472471</v>
      </c>
      <c r="J55" s="33">
        <v>2775443615</v>
      </c>
      <c r="K55" s="33"/>
      <c r="L55" s="33"/>
      <c r="M55" s="33"/>
      <c r="N55" s="33"/>
      <c r="O55" s="33"/>
      <c r="P55" s="33"/>
      <c r="Q55" s="33"/>
      <c r="R55" s="33"/>
      <c r="S55" s="33">
        <f t="shared" si="29"/>
        <v>11069063387</v>
      </c>
      <c r="T55" s="33">
        <v>33021601232</v>
      </c>
      <c r="U55" s="51">
        <f t="shared" si="25"/>
        <v>0.3352067426782861</v>
      </c>
      <c r="V55" s="163">
        <f t="shared" si="30"/>
        <v>21952537845</v>
      </c>
      <c r="AA55" s="276"/>
    </row>
    <row r="56" spans="1:27" x14ac:dyDescent="0.2">
      <c r="A56" s="165" t="s">
        <v>59</v>
      </c>
      <c r="B56" s="1" t="s">
        <v>59</v>
      </c>
      <c r="C56" s="2" t="s">
        <v>59</v>
      </c>
      <c r="D56" s="2" t="s">
        <v>68</v>
      </c>
      <c r="E56" s="2"/>
      <c r="F56" s="166" t="s">
        <v>441</v>
      </c>
      <c r="G56" s="33">
        <v>74030710</v>
      </c>
      <c r="H56" s="33">
        <v>75481570</v>
      </c>
      <c r="I56" s="33">
        <v>75386030</v>
      </c>
      <c r="J56" s="33">
        <v>75128366</v>
      </c>
      <c r="K56" s="33"/>
      <c r="L56" s="33"/>
      <c r="M56" s="33"/>
      <c r="N56" s="33"/>
      <c r="O56" s="33"/>
      <c r="P56" s="33"/>
      <c r="Q56" s="33"/>
      <c r="R56" s="33"/>
      <c r="S56" s="33">
        <f t="shared" si="29"/>
        <v>300026676</v>
      </c>
      <c r="T56" s="33">
        <v>897072012</v>
      </c>
      <c r="U56" s="51">
        <f t="shared" si="25"/>
        <v>0.33445104962208988</v>
      </c>
      <c r="V56" s="163">
        <f t="shared" si="30"/>
        <v>597045336</v>
      </c>
      <c r="AA56" s="276"/>
    </row>
    <row r="57" spans="1:27" x14ac:dyDescent="0.2">
      <c r="A57" s="165" t="s">
        <v>59</v>
      </c>
      <c r="B57" s="1" t="s">
        <v>59</v>
      </c>
      <c r="C57" s="2" t="s">
        <v>59</v>
      </c>
      <c r="D57" s="2" t="s">
        <v>69</v>
      </c>
      <c r="E57" s="2"/>
      <c r="F57" s="166" t="s">
        <v>442</v>
      </c>
      <c r="G57" s="33">
        <v>282212177</v>
      </c>
      <c r="H57" s="33">
        <v>289683747</v>
      </c>
      <c r="I57" s="33">
        <v>289586409</v>
      </c>
      <c r="J57" s="33">
        <v>289088526</v>
      </c>
      <c r="K57" s="33"/>
      <c r="L57" s="33"/>
      <c r="M57" s="33"/>
      <c r="N57" s="33"/>
      <c r="O57" s="33"/>
      <c r="P57" s="33"/>
      <c r="Q57" s="33"/>
      <c r="R57" s="33"/>
      <c r="S57" s="33">
        <f t="shared" si="29"/>
        <v>1150570859</v>
      </c>
      <c r="T57" s="33">
        <v>3396522339</v>
      </c>
      <c r="U57" s="51">
        <f t="shared" si="25"/>
        <v>0.33874968104545122</v>
      </c>
      <c r="V57" s="163">
        <f t="shared" si="30"/>
        <v>2245951480</v>
      </c>
      <c r="AA57" s="276"/>
    </row>
    <row r="58" spans="1:27" ht="14.45" customHeight="1" x14ac:dyDescent="0.2">
      <c r="A58" s="165" t="s">
        <v>59</v>
      </c>
      <c r="B58" s="1" t="s">
        <v>59</v>
      </c>
      <c r="C58" s="2" t="s">
        <v>59</v>
      </c>
      <c r="D58" s="2" t="s">
        <v>70</v>
      </c>
      <c r="E58" s="2"/>
      <c r="F58" s="166" t="s">
        <v>443</v>
      </c>
      <c r="G58" s="33">
        <v>497212235</v>
      </c>
      <c r="H58" s="33">
        <v>758738584</v>
      </c>
      <c r="I58" s="33">
        <v>546009974</v>
      </c>
      <c r="J58" s="33">
        <v>505929662</v>
      </c>
      <c r="K58" s="33"/>
      <c r="L58" s="33"/>
      <c r="M58" s="33"/>
      <c r="N58" s="33"/>
      <c r="O58" s="33"/>
      <c r="P58" s="33"/>
      <c r="Q58" s="33"/>
      <c r="R58" s="33"/>
      <c r="S58" s="33">
        <f>SUM(G58:R58)</f>
        <v>2307890455</v>
      </c>
      <c r="T58" s="33">
        <v>5892053759</v>
      </c>
      <c r="U58" s="51">
        <f t="shared" si="25"/>
        <v>0.39169541714970629</v>
      </c>
      <c r="V58" s="163">
        <f t="shared" si="30"/>
        <v>3584163304</v>
      </c>
      <c r="AA58" s="276"/>
    </row>
    <row r="59" spans="1:27" ht="13.9" customHeight="1" x14ac:dyDescent="0.2">
      <c r="A59" s="257">
        <v>21</v>
      </c>
      <c r="B59" s="257" t="s">
        <v>26</v>
      </c>
      <c r="C59" s="236" t="s">
        <v>32</v>
      </c>
      <c r="D59" s="257" t="s">
        <v>59</v>
      </c>
      <c r="E59" s="257"/>
      <c r="F59" s="248" t="s">
        <v>71</v>
      </c>
      <c r="G59" s="239">
        <f t="shared" ref="G59" si="31">G60+G61</f>
        <v>105168717</v>
      </c>
      <c r="H59" s="239">
        <f t="shared" ref="H59:I59" si="32">H60+H61</f>
        <v>105252335</v>
      </c>
      <c r="I59" s="239">
        <f t="shared" si="32"/>
        <v>106034200</v>
      </c>
      <c r="J59" s="239">
        <f t="shared" ref="J59:R59" si="33">J60+J61</f>
        <v>114817641</v>
      </c>
      <c r="K59" s="239">
        <f t="shared" si="33"/>
        <v>0</v>
      </c>
      <c r="L59" s="239">
        <f t="shared" si="33"/>
        <v>0</v>
      </c>
      <c r="M59" s="239">
        <f t="shared" si="33"/>
        <v>0</v>
      </c>
      <c r="N59" s="239">
        <f t="shared" si="33"/>
        <v>0</v>
      </c>
      <c r="O59" s="239">
        <f t="shared" si="33"/>
        <v>0</v>
      </c>
      <c r="P59" s="239">
        <f t="shared" si="33"/>
        <v>0</v>
      </c>
      <c r="Q59" s="239">
        <f t="shared" si="33"/>
        <v>0</v>
      </c>
      <c r="R59" s="239">
        <f t="shared" si="33"/>
        <v>0</v>
      </c>
      <c r="S59" s="239">
        <f>SUM(S60:S61)</f>
        <v>431272893</v>
      </c>
      <c r="T59" s="244">
        <f>SUM(T60:T61)</f>
        <v>1262104716</v>
      </c>
      <c r="U59" s="242">
        <f t="shared" si="25"/>
        <v>0.34170927937488194</v>
      </c>
      <c r="V59" s="246">
        <f>SUM(V60:V61)</f>
        <v>830831823</v>
      </c>
      <c r="AA59" s="276"/>
    </row>
    <row r="60" spans="1:27" ht="14.45" customHeight="1" x14ac:dyDescent="0.2">
      <c r="A60" s="1" t="s">
        <v>59</v>
      </c>
      <c r="B60" s="1" t="s">
        <v>59</v>
      </c>
      <c r="C60" s="2" t="s">
        <v>59</v>
      </c>
      <c r="D60" s="2" t="s">
        <v>28</v>
      </c>
      <c r="E60" s="2"/>
      <c r="F60" s="166" t="s">
        <v>444</v>
      </c>
      <c r="G60" s="33">
        <v>7044688</v>
      </c>
      <c r="H60" s="33">
        <v>7087297</v>
      </c>
      <c r="I60" s="33">
        <v>7087297</v>
      </c>
      <c r="J60" s="33">
        <v>7073094</v>
      </c>
      <c r="K60" s="33"/>
      <c r="L60" s="33"/>
      <c r="M60" s="33"/>
      <c r="N60" s="33"/>
      <c r="O60" s="33"/>
      <c r="P60" s="33"/>
      <c r="Q60" s="33"/>
      <c r="R60" s="33"/>
      <c r="S60" s="33">
        <f>SUM(G60:R60)</f>
        <v>28292376</v>
      </c>
      <c r="T60" s="33">
        <v>82068064</v>
      </c>
      <c r="U60" s="51">
        <f t="shared" si="25"/>
        <v>0.34474282225056507</v>
      </c>
      <c r="V60" s="163">
        <f>+T60-S60</f>
        <v>53775688</v>
      </c>
      <c r="AA60" s="276"/>
    </row>
    <row r="61" spans="1:27" ht="14.45" customHeight="1" x14ac:dyDescent="0.2">
      <c r="A61" s="1" t="s">
        <v>59</v>
      </c>
      <c r="B61" s="1" t="s">
        <v>59</v>
      </c>
      <c r="C61" s="2" t="s">
        <v>59</v>
      </c>
      <c r="D61" s="2" t="s">
        <v>32</v>
      </c>
      <c r="E61" s="2"/>
      <c r="F61" s="166" t="s">
        <v>445</v>
      </c>
      <c r="G61" s="33">
        <v>98124029</v>
      </c>
      <c r="H61" s="33">
        <v>98165038</v>
      </c>
      <c r="I61" s="33">
        <v>98946903</v>
      </c>
      <c r="J61" s="33">
        <v>107744547</v>
      </c>
      <c r="K61" s="33"/>
      <c r="L61" s="33"/>
      <c r="M61" s="33"/>
      <c r="N61" s="33"/>
      <c r="O61" s="33"/>
      <c r="P61" s="33"/>
      <c r="Q61" s="33"/>
      <c r="R61" s="33"/>
      <c r="S61" s="33">
        <f>SUM(G61:R61)</f>
        <v>402980517</v>
      </c>
      <c r="T61" s="33">
        <v>1180036652</v>
      </c>
      <c r="U61" s="51">
        <f t="shared" si="25"/>
        <v>0.34149830542721143</v>
      </c>
      <c r="V61" s="163">
        <f>+T61-S61</f>
        <v>777056135</v>
      </c>
      <c r="AA61" s="276"/>
    </row>
    <row r="62" spans="1:27" x14ac:dyDescent="0.2">
      <c r="A62" s="257">
        <v>21</v>
      </c>
      <c r="B62" s="257" t="s">
        <v>26</v>
      </c>
      <c r="C62" s="236" t="s">
        <v>63</v>
      </c>
      <c r="D62" s="257" t="s">
        <v>59</v>
      </c>
      <c r="E62" s="257"/>
      <c r="F62" s="248" t="s">
        <v>72</v>
      </c>
      <c r="G62" s="239">
        <f t="shared" ref="G62:T62" si="34">G63+G64</f>
        <v>271853379</v>
      </c>
      <c r="H62" s="239">
        <f t="shared" ref="H62:I62" si="35">H63+H64</f>
        <v>277483921</v>
      </c>
      <c r="I62" s="239">
        <f t="shared" si="35"/>
        <v>8369540372</v>
      </c>
      <c r="J62" s="239">
        <f t="shared" ref="J62:R62" si="36">J63+J64</f>
        <v>276306918</v>
      </c>
      <c r="K62" s="239">
        <f t="shared" si="36"/>
        <v>0</v>
      </c>
      <c r="L62" s="239">
        <f t="shared" si="36"/>
        <v>0</v>
      </c>
      <c r="M62" s="239">
        <f t="shared" si="36"/>
        <v>0</v>
      </c>
      <c r="N62" s="239">
        <f t="shared" si="36"/>
        <v>0</v>
      </c>
      <c r="O62" s="239">
        <f t="shared" si="36"/>
        <v>0</v>
      </c>
      <c r="P62" s="239">
        <f t="shared" si="36"/>
        <v>0</v>
      </c>
      <c r="Q62" s="239">
        <f t="shared" si="36"/>
        <v>0</v>
      </c>
      <c r="R62" s="239">
        <f t="shared" si="36"/>
        <v>0</v>
      </c>
      <c r="S62" s="239">
        <f t="shared" si="34"/>
        <v>9195184590</v>
      </c>
      <c r="T62" s="244">
        <f t="shared" si="34"/>
        <v>5027656783</v>
      </c>
      <c r="U62" s="242">
        <f t="shared" si="25"/>
        <v>1.8289205064855756</v>
      </c>
      <c r="V62" s="246">
        <f>V63+V64</f>
        <v>-4167527807</v>
      </c>
      <c r="AA62" s="276"/>
    </row>
    <row r="63" spans="1:27" x14ac:dyDescent="0.2">
      <c r="A63" s="1" t="s">
        <v>59</v>
      </c>
      <c r="B63" s="1" t="s">
        <v>59</v>
      </c>
      <c r="C63" s="2" t="s">
        <v>59</v>
      </c>
      <c r="D63" s="2" t="s">
        <v>28</v>
      </c>
      <c r="E63" s="2"/>
      <c r="F63" s="166" t="s">
        <v>446</v>
      </c>
      <c r="G63" s="33">
        <v>0</v>
      </c>
      <c r="H63" s="33">
        <v>0</v>
      </c>
      <c r="I63" s="33">
        <v>6691547532</v>
      </c>
      <c r="J63" s="33">
        <v>0</v>
      </c>
      <c r="K63" s="33"/>
      <c r="L63" s="33"/>
      <c r="M63" s="33"/>
      <c r="N63" s="33"/>
      <c r="O63" s="33"/>
      <c r="P63" s="33"/>
      <c r="Q63" s="33"/>
      <c r="R63" s="33"/>
      <c r="S63" s="33">
        <f>SUM(G63:R63)</f>
        <v>6691547532</v>
      </c>
      <c r="T63" s="33">
        <v>0</v>
      </c>
      <c r="U63" s="49" t="s">
        <v>31</v>
      </c>
      <c r="V63" s="167">
        <f>+T63-S63</f>
        <v>-6691547532</v>
      </c>
      <c r="AA63" s="276"/>
    </row>
    <row r="64" spans="1:27" x14ac:dyDescent="0.2">
      <c r="A64" s="1" t="s">
        <v>59</v>
      </c>
      <c r="B64" s="1" t="s">
        <v>59</v>
      </c>
      <c r="C64" s="2" t="s">
        <v>59</v>
      </c>
      <c r="D64" s="2" t="s">
        <v>63</v>
      </c>
      <c r="E64" s="2"/>
      <c r="F64" s="166" t="s">
        <v>447</v>
      </c>
      <c r="G64" s="33">
        <v>271853379</v>
      </c>
      <c r="H64" s="33">
        <v>277483921</v>
      </c>
      <c r="I64" s="33">
        <v>1677992840</v>
      </c>
      <c r="J64" s="33">
        <v>276306918</v>
      </c>
      <c r="K64" s="33"/>
      <c r="L64" s="33"/>
      <c r="M64" s="33"/>
      <c r="N64" s="33"/>
      <c r="O64" s="33"/>
      <c r="P64" s="33"/>
      <c r="Q64" s="33"/>
      <c r="R64" s="33"/>
      <c r="S64" s="33">
        <f>SUM(G64:R64)</f>
        <v>2503637058</v>
      </c>
      <c r="T64" s="33">
        <v>5027656783</v>
      </c>
      <c r="U64" s="51">
        <f t="shared" si="25"/>
        <v>0.4979729456603999</v>
      </c>
      <c r="V64" s="163">
        <f>+T64-S64</f>
        <v>2524019725</v>
      </c>
      <c r="AA64" s="276"/>
    </row>
    <row r="65" spans="1:27" ht="13.9" customHeight="1" x14ac:dyDescent="0.2">
      <c r="A65" s="257">
        <v>21</v>
      </c>
      <c r="B65" s="257" t="s">
        <v>26</v>
      </c>
      <c r="C65" s="236" t="s">
        <v>64</v>
      </c>
      <c r="D65" s="257" t="s">
        <v>59</v>
      </c>
      <c r="E65" s="257"/>
      <c r="F65" s="248" t="s">
        <v>73</v>
      </c>
      <c r="G65" s="239">
        <f t="shared" ref="G65" si="37">G66+G67+G68</f>
        <v>11014477</v>
      </c>
      <c r="H65" s="239">
        <f t="shared" ref="H65:I65" si="38">H66+H67+H68</f>
        <v>7799917</v>
      </c>
      <c r="I65" s="239">
        <f t="shared" si="38"/>
        <v>16002303</v>
      </c>
      <c r="J65" s="239">
        <f t="shared" ref="J65:R65" si="39">J66+J67+J68</f>
        <v>16779276</v>
      </c>
      <c r="K65" s="239">
        <f t="shared" si="39"/>
        <v>0</v>
      </c>
      <c r="L65" s="239">
        <f t="shared" si="39"/>
        <v>0</v>
      </c>
      <c r="M65" s="239">
        <f t="shared" si="39"/>
        <v>0</v>
      </c>
      <c r="N65" s="239">
        <f t="shared" si="39"/>
        <v>0</v>
      </c>
      <c r="O65" s="239">
        <f t="shared" si="39"/>
        <v>0</v>
      </c>
      <c r="P65" s="239">
        <f t="shared" si="39"/>
        <v>0</v>
      </c>
      <c r="Q65" s="239">
        <f t="shared" si="39"/>
        <v>0</v>
      </c>
      <c r="R65" s="239">
        <f t="shared" si="39"/>
        <v>0</v>
      </c>
      <c r="S65" s="239">
        <f>S66+S67+S68</f>
        <v>51595973</v>
      </c>
      <c r="T65" s="244">
        <f>T66+T67+T68</f>
        <v>240109932</v>
      </c>
      <c r="U65" s="242">
        <f t="shared" si="25"/>
        <v>0.21488479285396658</v>
      </c>
      <c r="V65" s="246">
        <f>V66+V67+V68</f>
        <v>188513959</v>
      </c>
      <c r="AA65" s="276"/>
    </row>
    <row r="66" spans="1:27" ht="13.5" customHeight="1" x14ac:dyDescent="0.2">
      <c r="A66" s="1">
        <v>21</v>
      </c>
      <c r="B66" s="1" t="s">
        <v>26</v>
      </c>
      <c r="C66" s="1" t="s">
        <v>64</v>
      </c>
      <c r="D66" s="2" t="s">
        <v>74</v>
      </c>
      <c r="E66" s="2"/>
      <c r="F66" s="166" t="s">
        <v>448</v>
      </c>
      <c r="G66" s="168">
        <v>0</v>
      </c>
      <c r="H66" s="168">
        <v>0</v>
      </c>
      <c r="I66" s="168">
        <v>0</v>
      </c>
      <c r="J66" s="168">
        <v>0</v>
      </c>
      <c r="K66" s="168"/>
      <c r="L66" s="168"/>
      <c r="M66" s="168"/>
      <c r="N66" s="168"/>
      <c r="O66" s="168"/>
      <c r="P66" s="168"/>
      <c r="Q66" s="168"/>
      <c r="R66" s="168"/>
      <c r="S66" s="168">
        <f>SUM(G66:R66)</f>
        <v>0</v>
      </c>
      <c r="T66" s="33">
        <v>0</v>
      </c>
      <c r="U66" s="51" t="s">
        <v>31</v>
      </c>
      <c r="V66" s="163">
        <f>+T66-S66</f>
        <v>0</v>
      </c>
      <c r="AA66" s="276"/>
    </row>
    <row r="67" spans="1:27" x14ac:dyDescent="0.2">
      <c r="A67" s="1">
        <v>21</v>
      </c>
      <c r="B67" s="1" t="s">
        <v>26</v>
      </c>
      <c r="C67" s="1" t="s">
        <v>64</v>
      </c>
      <c r="D67" s="2" t="s">
        <v>75</v>
      </c>
      <c r="E67" s="2"/>
      <c r="F67" s="166" t="s">
        <v>449</v>
      </c>
      <c r="G67" s="33">
        <v>11014477</v>
      </c>
      <c r="H67" s="33">
        <v>7306522</v>
      </c>
      <c r="I67" s="33">
        <v>16002303</v>
      </c>
      <c r="J67" s="33">
        <v>16779276</v>
      </c>
      <c r="K67" s="33"/>
      <c r="L67" s="33"/>
      <c r="M67" s="33"/>
      <c r="N67" s="33"/>
      <c r="O67" s="33"/>
      <c r="P67" s="33"/>
      <c r="Q67" s="33"/>
      <c r="R67" s="33"/>
      <c r="S67" s="33">
        <f>SUM(G67:R67)</f>
        <v>51102578</v>
      </c>
      <c r="T67" s="33">
        <v>228609932</v>
      </c>
      <c r="U67" s="51">
        <f>+S67/T67</f>
        <v>0.22353612353115088</v>
      </c>
      <c r="V67" s="163">
        <f>+T67-S67</f>
        <v>177507354</v>
      </c>
      <c r="AA67" s="276"/>
    </row>
    <row r="68" spans="1:27" x14ac:dyDescent="0.2">
      <c r="A68" s="1">
        <v>21</v>
      </c>
      <c r="B68" s="1" t="s">
        <v>26</v>
      </c>
      <c r="C68" s="1" t="s">
        <v>64</v>
      </c>
      <c r="D68" s="2" t="s">
        <v>76</v>
      </c>
      <c r="E68" s="2"/>
      <c r="F68" s="166" t="s">
        <v>450</v>
      </c>
      <c r="G68" s="168">
        <v>0</v>
      </c>
      <c r="H68" s="33">
        <v>493395</v>
      </c>
      <c r="I68" s="168">
        <v>0</v>
      </c>
      <c r="J68" s="168">
        <v>0</v>
      </c>
      <c r="K68" s="168"/>
      <c r="L68" s="168"/>
      <c r="M68" s="168"/>
      <c r="N68" s="168"/>
      <c r="O68" s="168"/>
      <c r="P68" s="168"/>
      <c r="Q68" s="168"/>
      <c r="R68" s="168"/>
      <c r="S68" s="168">
        <f>SUM(G68:R68)</f>
        <v>493395</v>
      </c>
      <c r="T68" s="33">
        <v>11500000</v>
      </c>
      <c r="U68" s="51">
        <f>+S68/T68</f>
        <v>4.2903913043478258E-2</v>
      </c>
      <c r="V68" s="163">
        <f>+T68-S68</f>
        <v>11006605</v>
      </c>
      <c r="AA68" s="276"/>
    </row>
    <row r="69" spans="1:27" ht="13.9" customHeight="1" x14ac:dyDescent="0.2">
      <c r="A69" s="257">
        <v>21</v>
      </c>
      <c r="B69" s="257" t="s">
        <v>26</v>
      </c>
      <c r="C69" s="236" t="s">
        <v>74</v>
      </c>
      <c r="D69" s="257" t="s">
        <v>59</v>
      </c>
      <c r="E69" s="257"/>
      <c r="F69" s="248" t="s">
        <v>77</v>
      </c>
      <c r="G69" s="239">
        <f t="shared" ref="G69" si="40">G70+G71+G72+G73</f>
        <v>0</v>
      </c>
      <c r="H69" s="239">
        <f t="shared" ref="H69:I69" si="41">H70+H71+H72+H73</f>
        <v>0</v>
      </c>
      <c r="I69" s="239">
        <f t="shared" si="41"/>
        <v>0</v>
      </c>
      <c r="J69" s="239">
        <f t="shared" ref="J69:R69" si="42">J70+J71+J72+J73</f>
        <v>0</v>
      </c>
      <c r="K69" s="239">
        <f t="shared" si="42"/>
        <v>0</v>
      </c>
      <c r="L69" s="239">
        <f t="shared" si="42"/>
        <v>0</v>
      </c>
      <c r="M69" s="239">
        <f t="shared" si="42"/>
        <v>0</v>
      </c>
      <c r="N69" s="239">
        <f t="shared" si="42"/>
        <v>0</v>
      </c>
      <c r="O69" s="239"/>
      <c r="P69" s="239">
        <f t="shared" si="42"/>
        <v>0</v>
      </c>
      <c r="Q69" s="239">
        <f t="shared" si="42"/>
        <v>0</v>
      </c>
      <c r="R69" s="239">
        <f t="shared" si="42"/>
        <v>0</v>
      </c>
      <c r="S69" s="239">
        <f>S70+S71+S72+S73</f>
        <v>0</v>
      </c>
      <c r="T69" s="244">
        <f>T70+T71+T72+T73</f>
        <v>0</v>
      </c>
      <c r="U69" s="265" t="s">
        <v>31</v>
      </c>
      <c r="V69" s="261">
        <f t="shared" ref="V69:V75" si="43">+T69-S69</f>
        <v>0</v>
      </c>
      <c r="AA69" s="276"/>
    </row>
    <row r="70" spans="1:27" ht="13.9" customHeight="1" x14ac:dyDescent="0.2">
      <c r="A70" s="1" t="s">
        <v>59</v>
      </c>
      <c r="B70" s="1" t="s">
        <v>59</v>
      </c>
      <c r="C70" s="1" t="s">
        <v>59</v>
      </c>
      <c r="D70" s="2" t="s">
        <v>28</v>
      </c>
      <c r="E70" s="2"/>
      <c r="F70" s="166" t="s">
        <v>451</v>
      </c>
      <c r="G70" s="168">
        <v>0</v>
      </c>
      <c r="H70" s="168">
        <v>0</v>
      </c>
      <c r="I70" s="168">
        <v>0</v>
      </c>
      <c r="J70" s="168">
        <v>0</v>
      </c>
      <c r="K70" s="168"/>
      <c r="L70" s="168"/>
      <c r="M70" s="168"/>
      <c r="N70" s="168"/>
      <c r="O70" s="168"/>
      <c r="P70" s="168"/>
      <c r="Q70" s="168"/>
      <c r="R70" s="168"/>
      <c r="S70" s="168">
        <f>SUM(G70:R70)</f>
        <v>0</v>
      </c>
      <c r="T70" s="33">
        <v>0</v>
      </c>
      <c r="U70" s="51" t="s">
        <v>31</v>
      </c>
      <c r="V70" s="163">
        <v>0</v>
      </c>
      <c r="AA70" s="276"/>
    </row>
    <row r="71" spans="1:27" ht="13.9" customHeight="1" x14ac:dyDescent="0.2">
      <c r="A71" s="1" t="s">
        <v>59</v>
      </c>
      <c r="B71" s="1" t="s">
        <v>59</v>
      </c>
      <c r="C71" s="1" t="s">
        <v>59</v>
      </c>
      <c r="D71" s="2" t="s">
        <v>32</v>
      </c>
      <c r="E71" s="2"/>
      <c r="F71" s="166" t="s">
        <v>452</v>
      </c>
      <c r="G71" s="168">
        <v>0</v>
      </c>
      <c r="H71" s="168">
        <v>0</v>
      </c>
      <c r="I71" s="168">
        <v>0</v>
      </c>
      <c r="J71" s="168">
        <v>0</v>
      </c>
      <c r="K71" s="168"/>
      <c r="L71" s="168"/>
      <c r="M71" s="168"/>
      <c r="N71" s="168"/>
      <c r="O71" s="168"/>
      <c r="P71" s="168"/>
      <c r="Q71" s="168"/>
      <c r="R71" s="168"/>
      <c r="S71" s="168">
        <f>SUM(G71:R71)</f>
        <v>0</v>
      </c>
      <c r="T71" s="33">
        <v>0</v>
      </c>
      <c r="U71" s="51" t="s">
        <v>31</v>
      </c>
      <c r="V71" s="163">
        <f t="shared" si="43"/>
        <v>0</v>
      </c>
      <c r="AA71" s="276"/>
    </row>
    <row r="72" spans="1:27" ht="13.9" customHeight="1" x14ac:dyDescent="0.2">
      <c r="A72" s="1" t="s">
        <v>59</v>
      </c>
      <c r="B72" s="1" t="s">
        <v>59</v>
      </c>
      <c r="C72" s="1" t="s">
        <v>59</v>
      </c>
      <c r="D72" s="2" t="s">
        <v>63</v>
      </c>
      <c r="E72" s="2"/>
      <c r="F72" s="166" t="s">
        <v>453</v>
      </c>
      <c r="G72" s="168">
        <v>0</v>
      </c>
      <c r="H72" s="168">
        <v>0</v>
      </c>
      <c r="I72" s="168">
        <v>0</v>
      </c>
      <c r="J72" s="168">
        <v>0</v>
      </c>
      <c r="K72" s="168"/>
      <c r="L72" s="168"/>
      <c r="M72" s="168"/>
      <c r="N72" s="168"/>
      <c r="O72" s="168"/>
      <c r="P72" s="168"/>
      <c r="Q72" s="168"/>
      <c r="R72" s="168"/>
      <c r="S72" s="168">
        <f>SUM(G72:R72)</f>
        <v>0</v>
      </c>
      <c r="T72" s="33">
        <v>0</v>
      </c>
      <c r="U72" s="49" t="s">
        <v>31</v>
      </c>
      <c r="V72" s="163">
        <f t="shared" si="43"/>
        <v>0</v>
      </c>
      <c r="AA72" s="276"/>
    </row>
    <row r="73" spans="1:27" x14ac:dyDescent="0.2">
      <c r="A73" s="1" t="s">
        <v>59</v>
      </c>
      <c r="B73" s="1" t="s">
        <v>59</v>
      </c>
      <c r="C73" s="1" t="s">
        <v>59</v>
      </c>
      <c r="D73" s="2" t="s">
        <v>64</v>
      </c>
      <c r="E73" s="2"/>
      <c r="F73" s="166" t="s">
        <v>454</v>
      </c>
      <c r="G73" s="168">
        <v>0</v>
      </c>
      <c r="H73" s="168">
        <v>0</v>
      </c>
      <c r="I73" s="168">
        <v>0</v>
      </c>
      <c r="J73" s="168">
        <v>0</v>
      </c>
      <c r="K73" s="168"/>
      <c r="L73" s="168"/>
      <c r="M73" s="168"/>
      <c r="N73" s="168"/>
      <c r="O73" s="168"/>
      <c r="P73" s="168"/>
      <c r="Q73" s="168"/>
      <c r="R73" s="168"/>
      <c r="S73" s="168">
        <f>SUM(G73:R73)</f>
        <v>0</v>
      </c>
      <c r="T73" s="33">
        <v>0</v>
      </c>
      <c r="U73" s="51" t="s">
        <v>31</v>
      </c>
      <c r="V73" s="163">
        <f t="shared" si="43"/>
        <v>0</v>
      </c>
      <c r="AA73" s="276"/>
    </row>
    <row r="74" spans="1:27" ht="13.9" customHeight="1" x14ac:dyDescent="0.2">
      <c r="A74" s="257">
        <v>21</v>
      </c>
      <c r="B74" s="236" t="s">
        <v>44</v>
      </c>
      <c r="C74" s="257" t="s">
        <v>59</v>
      </c>
      <c r="D74" s="257" t="s">
        <v>59</v>
      </c>
      <c r="E74" s="257"/>
      <c r="F74" s="248" t="s">
        <v>78</v>
      </c>
      <c r="G74" s="239">
        <f t="shared" ref="G74:T74" si="44">G75+G76+G89</f>
        <v>11652415186</v>
      </c>
      <c r="H74" s="239">
        <f t="shared" ref="H74:I74" si="45">H75+H76+H89</f>
        <v>12860132228</v>
      </c>
      <c r="I74" s="239">
        <f t="shared" si="45"/>
        <v>28407505254</v>
      </c>
      <c r="J74" s="239">
        <f t="shared" ref="J74:R74" si="46">J75+J76+J89</f>
        <v>12031338681</v>
      </c>
      <c r="K74" s="239">
        <f t="shared" si="46"/>
        <v>0</v>
      </c>
      <c r="L74" s="239">
        <f t="shared" si="46"/>
        <v>0</v>
      </c>
      <c r="M74" s="239">
        <f t="shared" si="46"/>
        <v>0</v>
      </c>
      <c r="N74" s="239">
        <f t="shared" si="46"/>
        <v>0</v>
      </c>
      <c r="O74" s="239">
        <f t="shared" si="46"/>
        <v>0</v>
      </c>
      <c r="P74" s="239">
        <f t="shared" si="46"/>
        <v>0</v>
      </c>
      <c r="Q74" s="239">
        <f t="shared" si="46"/>
        <v>0</v>
      </c>
      <c r="R74" s="239">
        <f t="shared" si="46"/>
        <v>0</v>
      </c>
      <c r="S74" s="239">
        <f t="shared" si="44"/>
        <v>64951391349</v>
      </c>
      <c r="T74" s="244">
        <f t="shared" si="44"/>
        <v>144012102681</v>
      </c>
      <c r="U74" s="242">
        <f t="shared" ref="U74:U89" si="47">+S74/T74</f>
        <v>0.45101342275984457</v>
      </c>
      <c r="V74" s="243">
        <f t="shared" si="43"/>
        <v>79060711332</v>
      </c>
      <c r="AA74" s="276"/>
    </row>
    <row r="75" spans="1:27" ht="19.5" customHeight="1" x14ac:dyDescent="0.2">
      <c r="A75" s="1">
        <v>21</v>
      </c>
      <c r="B75" s="1" t="s">
        <v>44</v>
      </c>
      <c r="C75" s="2" t="s">
        <v>28</v>
      </c>
      <c r="D75" s="1" t="s">
        <v>59</v>
      </c>
      <c r="E75" s="1"/>
      <c r="F75" s="3" t="s">
        <v>79</v>
      </c>
      <c r="G75" s="215">
        <v>617323675</v>
      </c>
      <c r="H75" s="215">
        <v>541338623</v>
      </c>
      <c r="I75" s="215">
        <v>674790367</v>
      </c>
      <c r="J75" s="215">
        <v>601456284</v>
      </c>
      <c r="K75" s="215"/>
      <c r="L75" s="215"/>
      <c r="M75" s="215"/>
      <c r="N75" s="215"/>
      <c r="O75" s="215"/>
      <c r="P75" s="215"/>
      <c r="Q75" s="215"/>
      <c r="R75" s="215"/>
      <c r="S75" s="215">
        <f>SUM(G75:R75)</f>
        <v>2434908949</v>
      </c>
      <c r="T75" s="215">
        <v>6344863614</v>
      </c>
      <c r="U75" s="51">
        <f t="shared" si="47"/>
        <v>0.38376064437813145</v>
      </c>
      <c r="V75" s="167">
        <f t="shared" si="43"/>
        <v>3909954665</v>
      </c>
      <c r="AA75" s="276"/>
    </row>
    <row r="76" spans="1:27" ht="18.75" customHeight="1" x14ac:dyDescent="0.2">
      <c r="A76" s="257">
        <v>21</v>
      </c>
      <c r="B76" s="257" t="s">
        <v>44</v>
      </c>
      <c r="C76" s="236" t="s">
        <v>64</v>
      </c>
      <c r="D76" s="257" t="s">
        <v>59</v>
      </c>
      <c r="E76" s="257"/>
      <c r="F76" s="248" t="s">
        <v>80</v>
      </c>
      <c r="G76" s="239">
        <f>SUM(G77:G88)</f>
        <v>11033970511</v>
      </c>
      <c r="H76" s="239">
        <f t="shared" ref="H76:I76" si="48">SUM(H77:H88)</f>
        <v>12317011605</v>
      </c>
      <c r="I76" s="239">
        <f t="shared" si="48"/>
        <v>27730281887</v>
      </c>
      <c r="J76" s="239">
        <f t="shared" ref="J76:R76" si="49">SUM(J77:J88)</f>
        <v>11426495397</v>
      </c>
      <c r="K76" s="239">
        <f t="shared" si="49"/>
        <v>0</v>
      </c>
      <c r="L76" s="239">
        <f t="shared" si="49"/>
        <v>0</v>
      </c>
      <c r="M76" s="239">
        <f t="shared" si="49"/>
        <v>0</v>
      </c>
      <c r="N76" s="239">
        <f t="shared" si="49"/>
        <v>0</v>
      </c>
      <c r="O76" s="239">
        <f t="shared" si="49"/>
        <v>0</v>
      </c>
      <c r="P76" s="239">
        <f t="shared" si="49"/>
        <v>0</v>
      </c>
      <c r="Q76" s="239">
        <f t="shared" si="49"/>
        <v>0</v>
      </c>
      <c r="R76" s="239">
        <f t="shared" si="49"/>
        <v>0</v>
      </c>
      <c r="S76" s="239">
        <f t="shared" ref="S76:T76" si="50">SUM(S77:S88)</f>
        <v>62507759400</v>
      </c>
      <c r="T76" s="241">
        <f t="shared" si="50"/>
        <v>137573459067</v>
      </c>
      <c r="U76" s="242">
        <f t="shared" si="47"/>
        <v>0.45435914618936735</v>
      </c>
      <c r="V76" s="246">
        <f>SUM(V77:V88)</f>
        <v>75065699667</v>
      </c>
      <c r="AA76" s="276"/>
    </row>
    <row r="77" spans="1:27" ht="14.45" customHeight="1" x14ac:dyDescent="0.2">
      <c r="A77" s="1">
        <v>21</v>
      </c>
      <c r="B77" s="1" t="s">
        <v>44</v>
      </c>
      <c r="C77" s="2" t="s">
        <v>64</v>
      </c>
      <c r="D77" s="4" t="s">
        <v>81</v>
      </c>
      <c r="E77" s="4"/>
      <c r="F77" s="166" t="s">
        <v>455</v>
      </c>
      <c r="G77" s="222">
        <v>37524326</v>
      </c>
      <c r="H77" s="33">
        <v>37439108</v>
      </c>
      <c r="I77" s="33">
        <v>37396499</v>
      </c>
      <c r="J77" s="33">
        <v>37183454</v>
      </c>
      <c r="K77" s="33"/>
      <c r="L77" s="33"/>
      <c r="M77" s="33"/>
      <c r="N77" s="33"/>
      <c r="O77" s="33"/>
      <c r="P77" s="33"/>
      <c r="Q77" s="33"/>
      <c r="R77" s="33"/>
      <c r="S77" s="33">
        <f t="shared" ref="S77:S89" si="51">SUM(G77:R77)</f>
        <v>149543387</v>
      </c>
      <c r="T77" s="33">
        <v>447945511</v>
      </c>
      <c r="U77" s="51">
        <f t="shared" si="47"/>
        <v>0.33384280750164724</v>
      </c>
      <c r="V77" s="163">
        <f t="shared" ref="V77:V89" si="52">+T77-S77</f>
        <v>298402124</v>
      </c>
      <c r="AA77" s="276"/>
    </row>
    <row r="78" spans="1:27" ht="14.45" customHeight="1" x14ac:dyDescent="0.2">
      <c r="A78" s="1">
        <v>21</v>
      </c>
      <c r="B78" s="1" t="s">
        <v>44</v>
      </c>
      <c r="C78" s="1" t="s">
        <v>64</v>
      </c>
      <c r="D78" s="4" t="s">
        <v>82</v>
      </c>
      <c r="E78" s="4"/>
      <c r="F78" s="166" t="s">
        <v>456</v>
      </c>
      <c r="G78" s="221">
        <v>275096880</v>
      </c>
      <c r="H78" s="95">
        <v>288701012</v>
      </c>
      <c r="I78" s="33">
        <v>463081477</v>
      </c>
      <c r="J78" s="33">
        <v>308768099</v>
      </c>
      <c r="K78" s="33"/>
      <c r="L78" s="33"/>
      <c r="M78" s="33"/>
      <c r="N78" s="33"/>
      <c r="O78" s="33"/>
      <c r="P78" s="33"/>
      <c r="Q78" s="33"/>
      <c r="R78" s="33"/>
      <c r="S78" s="33">
        <f t="shared" si="51"/>
        <v>1335647468</v>
      </c>
      <c r="T78" s="33">
        <v>3197994583</v>
      </c>
      <c r="U78" s="51">
        <f t="shared" si="47"/>
        <v>0.41765157298892147</v>
      </c>
      <c r="V78" s="163">
        <f t="shared" si="52"/>
        <v>1862347115</v>
      </c>
      <c r="AA78" s="276"/>
    </row>
    <row r="79" spans="1:27" x14ac:dyDescent="0.2">
      <c r="A79" s="1">
        <v>21</v>
      </c>
      <c r="B79" s="1" t="s">
        <v>44</v>
      </c>
      <c r="C79" s="1" t="s">
        <v>64</v>
      </c>
      <c r="D79" s="4" t="s">
        <v>83</v>
      </c>
      <c r="E79" s="4"/>
      <c r="F79" s="166" t="s">
        <v>457</v>
      </c>
      <c r="G79" s="221">
        <v>548929703</v>
      </c>
      <c r="H79" s="95">
        <v>562335938</v>
      </c>
      <c r="I79" s="33">
        <v>3133466447</v>
      </c>
      <c r="J79" s="33">
        <v>566869193</v>
      </c>
      <c r="K79" s="33"/>
      <c r="L79" s="33"/>
      <c r="M79" s="33"/>
      <c r="N79" s="33"/>
      <c r="O79" s="33"/>
      <c r="P79" s="33"/>
      <c r="Q79" s="33"/>
      <c r="R79" s="33"/>
      <c r="S79" s="33">
        <f t="shared" si="51"/>
        <v>4811601281</v>
      </c>
      <c r="T79" s="33">
        <v>9952321193</v>
      </c>
      <c r="U79" s="51">
        <f t="shared" si="47"/>
        <v>0.4834652326518819</v>
      </c>
      <c r="V79" s="163">
        <f t="shared" si="52"/>
        <v>5140719912</v>
      </c>
      <c r="AA79" s="276"/>
    </row>
    <row r="80" spans="1:27" x14ac:dyDescent="0.2">
      <c r="A80" s="1">
        <v>21</v>
      </c>
      <c r="B80" s="1" t="s">
        <v>44</v>
      </c>
      <c r="C80" s="1" t="s">
        <v>64</v>
      </c>
      <c r="D80" s="4" t="s">
        <v>84</v>
      </c>
      <c r="E80" s="4"/>
      <c r="F80" s="166" t="s">
        <v>458</v>
      </c>
      <c r="G80" s="88">
        <v>0</v>
      </c>
      <c r="H80" s="212">
        <v>0</v>
      </c>
      <c r="I80" s="168">
        <v>13252568891</v>
      </c>
      <c r="J80" s="168">
        <v>9494253</v>
      </c>
      <c r="K80" s="168"/>
      <c r="L80" s="168"/>
      <c r="M80" s="168"/>
      <c r="N80" s="168"/>
      <c r="O80" s="168"/>
      <c r="P80" s="168"/>
      <c r="Q80" s="168"/>
      <c r="R80" s="168"/>
      <c r="S80" s="168">
        <f t="shared" si="51"/>
        <v>13262063144</v>
      </c>
      <c r="T80" s="33">
        <v>0</v>
      </c>
      <c r="U80" s="49" t="s">
        <v>31</v>
      </c>
      <c r="V80" s="163">
        <f t="shared" si="52"/>
        <v>-13262063144</v>
      </c>
      <c r="AA80" s="276"/>
    </row>
    <row r="81" spans="1:27" ht="14.45" customHeight="1" x14ac:dyDescent="0.2">
      <c r="A81" s="1">
        <v>21</v>
      </c>
      <c r="B81" s="1" t="s">
        <v>44</v>
      </c>
      <c r="C81" s="1" t="s">
        <v>64</v>
      </c>
      <c r="D81" s="4" t="s">
        <v>85</v>
      </c>
      <c r="E81" s="4"/>
      <c r="F81" s="166" t="s">
        <v>451</v>
      </c>
      <c r="G81" s="168">
        <v>1102892</v>
      </c>
      <c r="H81" s="95">
        <v>8162596</v>
      </c>
      <c r="I81" s="33">
        <v>2341</v>
      </c>
      <c r="J81" s="33">
        <v>0</v>
      </c>
      <c r="K81" s="33"/>
      <c r="L81" s="33"/>
      <c r="M81" s="33"/>
      <c r="N81" s="33"/>
      <c r="O81" s="33"/>
      <c r="P81" s="33"/>
      <c r="Q81" s="33"/>
      <c r="R81" s="33"/>
      <c r="S81" s="33">
        <f t="shared" si="51"/>
        <v>9267829</v>
      </c>
      <c r="T81" s="33">
        <v>0</v>
      </c>
      <c r="U81" s="49" t="s">
        <v>31</v>
      </c>
      <c r="V81" s="163">
        <f t="shared" si="52"/>
        <v>-9267829</v>
      </c>
      <c r="AA81" s="276"/>
    </row>
    <row r="82" spans="1:27" x14ac:dyDescent="0.2">
      <c r="A82" s="1">
        <v>21</v>
      </c>
      <c r="B82" s="2" t="s">
        <v>44</v>
      </c>
      <c r="C82" s="2" t="s">
        <v>64</v>
      </c>
      <c r="D82" s="4" t="s">
        <v>86</v>
      </c>
      <c r="E82" s="4"/>
      <c r="F82" s="166" t="s">
        <v>459</v>
      </c>
      <c r="G82" s="53">
        <v>12490263</v>
      </c>
      <c r="H82" s="95">
        <v>15171530</v>
      </c>
      <c r="I82" s="33">
        <v>16602446</v>
      </c>
      <c r="J82" s="33">
        <v>28997380</v>
      </c>
      <c r="K82" s="33"/>
      <c r="L82" s="33"/>
      <c r="M82" s="33"/>
      <c r="N82" s="33"/>
      <c r="O82" s="33"/>
      <c r="P82" s="33"/>
      <c r="Q82" s="33"/>
      <c r="R82" s="33"/>
      <c r="S82" s="33">
        <f t="shared" si="51"/>
        <v>73261619</v>
      </c>
      <c r="T82" s="33">
        <v>703052975</v>
      </c>
      <c r="U82" s="51">
        <f t="shared" si="47"/>
        <v>0.10420497687247536</v>
      </c>
      <c r="V82" s="163">
        <f t="shared" si="52"/>
        <v>629791356</v>
      </c>
      <c r="AA82" s="276"/>
    </row>
    <row r="83" spans="1:27" x14ac:dyDescent="0.2">
      <c r="A83" s="1">
        <v>21</v>
      </c>
      <c r="B83" s="1" t="s">
        <v>44</v>
      </c>
      <c r="C83" s="1" t="s">
        <v>64</v>
      </c>
      <c r="D83" s="4" t="s">
        <v>87</v>
      </c>
      <c r="E83" s="4"/>
      <c r="F83" s="166" t="s">
        <v>460</v>
      </c>
      <c r="G83" s="88">
        <v>0</v>
      </c>
      <c r="H83" s="212">
        <v>1179621</v>
      </c>
      <c r="I83" s="168">
        <v>5659471</v>
      </c>
      <c r="J83" s="168">
        <v>0</v>
      </c>
      <c r="K83" s="168"/>
      <c r="L83" s="168"/>
      <c r="M83" s="168"/>
      <c r="N83" s="168"/>
      <c r="O83" s="168"/>
      <c r="P83" s="168"/>
      <c r="Q83" s="168"/>
      <c r="R83" s="168"/>
      <c r="S83" s="168">
        <f t="shared" si="51"/>
        <v>6839092</v>
      </c>
      <c r="T83" s="33">
        <v>21300000</v>
      </c>
      <c r="U83" s="51">
        <f t="shared" si="47"/>
        <v>0.32108413145539905</v>
      </c>
      <c r="V83" s="163">
        <f t="shared" si="52"/>
        <v>14460908</v>
      </c>
      <c r="AA83" s="276"/>
    </row>
    <row r="84" spans="1:27" ht="14.45" customHeight="1" x14ac:dyDescent="0.2">
      <c r="A84" s="1">
        <v>21</v>
      </c>
      <c r="B84" s="1" t="s">
        <v>44</v>
      </c>
      <c r="C84" s="1" t="s">
        <v>64</v>
      </c>
      <c r="D84" s="4" t="s">
        <v>88</v>
      </c>
      <c r="E84" s="4"/>
      <c r="F84" s="166" t="s">
        <v>452</v>
      </c>
      <c r="G84" s="88">
        <v>0</v>
      </c>
      <c r="H84" s="212">
        <v>0</v>
      </c>
      <c r="I84" s="168">
        <v>48255826</v>
      </c>
      <c r="J84" s="168">
        <v>11899234</v>
      </c>
      <c r="K84" s="168"/>
      <c r="L84" s="168"/>
      <c r="M84" s="168"/>
      <c r="N84" s="168"/>
      <c r="O84" s="168"/>
      <c r="P84" s="168"/>
      <c r="Q84" s="168"/>
      <c r="R84" s="168"/>
      <c r="S84" s="168">
        <f t="shared" si="51"/>
        <v>60155060</v>
      </c>
      <c r="T84" s="33">
        <v>0</v>
      </c>
      <c r="U84" s="49" t="s">
        <v>31</v>
      </c>
      <c r="V84" s="163">
        <f t="shared" si="52"/>
        <v>-60155060</v>
      </c>
      <c r="AA84" s="276"/>
    </row>
    <row r="85" spans="1:27" x14ac:dyDescent="0.2">
      <c r="A85" s="1">
        <v>21</v>
      </c>
      <c r="B85" s="1" t="s">
        <v>44</v>
      </c>
      <c r="C85" s="1" t="s">
        <v>64</v>
      </c>
      <c r="D85" s="4" t="s">
        <v>89</v>
      </c>
      <c r="E85" s="4"/>
      <c r="F85" s="166" t="s">
        <v>454</v>
      </c>
      <c r="G85" s="88">
        <v>0</v>
      </c>
      <c r="H85" s="212">
        <v>0</v>
      </c>
      <c r="I85" s="168">
        <v>0</v>
      </c>
      <c r="J85" s="168">
        <v>8361852</v>
      </c>
      <c r="K85" s="168"/>
      <c r="L85" s="168"/>
      <c r="M85" s="168"/>
      <c r="N85" s="168"/>
      <c r="O85" s="168"/>
      <c r="P85" s="168"/>
      <c r="Q85" s="168"/>
      <c r="R85" s="168"/>
      <c r="S85" s="168">
        <f>SUM(G85:R85)</f>
        <v>8361852</v>
      </c>
      <c r="T85" s="33">
        <v>0</v>
      </c>
      <c r="U85" s="49" t="s">
        <v>31</v>
      </c>
      <c r="V85" s="163">
        <f t="shared" si="52"/>
        <v>-8361852</v>
      </c>
      <c r="AA85" s="276"/>
    </row>
    <row r="86" spans="1:27" ht="14.45" customHeight="1" x14ac:dyDescent="0.2">
      <c r="A86" s="1">
        <v>21</v>
      </c>
      <c r="B86" s="1" t="s">
        <v>44</v>
      </c>
      <c r="C86" s="1" t="s">
        <v>64</v>
      </c>
      <c r="D86" s="4" t="s">
        <v>90</v>
      </c>
      <c r="E86" s="4"/>
      <c r="F86" s="166" t="s">
        <v>461</v>
      </c>
      <c r="G86" s="221">
        <v>1856434</v>
      </c>
      <c r="H86" s="95">
        <v>247666342</v>
      </c>
      <c r="I86" s="33">
        <v>157426</v>
      </c>
      <c r="J86" s="33">
        <v>3713</v>
      </c>
      <c r="K86" s="33"/>
      <c r="L86" s="33"/>
      <c r="M86" s="33"/>
      <c r="N86" s="33"/>
      <c r="O86" s="33"/>
      <c r="P86" s="33"/>
      <c r="Q86" s="33"/>
      <c r="R86" s="33"/>
      <c r="S86" s="33">
        <f>SUM(G86:R86)</f>
        <v>249683915</v>
      </c>
      <c r="T86" s="33">
        <v>0</v>
      </c>
      <c r="U86" s="49" t="s">
        <v>31</v>
      </c>
      <c r="V86" s="163">
        <f t="shared" si="52"/>
        <v>-249683915</v>
      </c>
      <c r="AA86" s="276"/>
    </row>
    <row r="87" spans="1:27" ht="14.45" customHeight="1" x14ac:dyDescent="0.2">
      <c r="A87" s="1">
        <v>21</v>
      </c>
      <c r="B87" s="1" t="s">
        <v>44</v>
      </c>
      <c r="C87" s="1" t="s">
        <v>64</v>
      </c>
      <c r="D87" s="2">
        <v>100</v>
      </c>
      <c r="E87" s="2"/>
      <c r="F87" s="166" t="s">
        <v>462</v>
      </c>
      <c r="G87" s="168">
        <v>10119506891</v>
      </c>
      <c r="H87" s="95">
        <v>11119048276</v>
      </c>
      <c r="I87" s="33">
        <v>10744905261</v>
      </c>
      <c r="J87" s="33">
        <v>10423974246</v>
      </c>
      <c r="K87" s="33"/>
      <c r="L87" s="33"/>
      <c r="M87" s="33"/>
      <c r="N87" s="33"/>
      <c r="O87" s="33"/>
      <c r="P87" s="33"/>
      <c r="Q87" s="33"/>
      <c r="R87" s="33"/>
      <c r="S87" s="33">
        <f>SUM(G87:R87)</f>
        <v>42407434674</v>
      </c>
      <c r="T87" s="33">
        <v>122599946805</v>
      </c>
      <c r="U87" s="51">
        <f t="shared" si="47"/>
        <v>0.34590092230179087</v>
      </c>
      <c r="V87" s="163">
        <f t="shared" si="52"/>
        <v>80192512131</v>
      </c>
      <c r="AA87" s="276"/>
    </row>
    <row r="88" spans="1:27" ht="14.45" customHeight="1" x14ac:dyDescent="0.2">
      <c r="A88" s="1">
        <v>21</v>
      </c>
      <c r="B88" s="1" t="s">
        <v>44</v>
      </c>
      <c r="C88" s="1" t="s">
        <v>64</v>
      </c>
      <c r="D88" s="2" t="s">
        <v>91</v>
      </c>
      <c r="E88" s="2"/>
      <c r="F88" s="166" t="s">
        <v>463</v>
      </c>
      <c r="G88" s="168">
        <v>37463122</v>
      </c>
      <c r="H88" s="95">
        <v>37307182</v>
      </c>
      <c r="I88" s="33">
        <v>28185802</v>
      </c>
      <c r="J88" s="33">
        <v>30943973</v>
      </c>
      <c r="K88" s="33"/>
      <c r="L88" s="33"/>
      <c r="M88" s="33"/>
      <c r="N88" s="33"/>
      <c r="O88" s="33"/>
      <c r="P88" s="33"/>
      <c r="Q88" s="33"/>
      <c r="R88" s="33"/>
      <c r="S88" s="33">
        <f>SUM(G88:R88)</f>
        <v>133900079</v>
      </c>
      <c r="T88" s="33">
        <v>650898000</v>
      </c>
      <c r="U88" s="51">
        <f t="shared" si="47"/>
        <v>0.20571591708685538</v>
      </c>
      <c r="V88" s="163">
        <f t="shared" si="52"/>
        <v>516997921</v>
      </c>
      <c r="AA88" s="276"/>
    </row>
    <row r="89" spans="1:27" x14ac:dyDescent="0.2">
      <c r="A89" s="1">
        <v>21</v>
      </c>
      <c r="B89" s="1" t="s">
        <v>44</v>
      </c>
      <c r="C89" s="2" t="s">
        <v>76</v>
      </c>
      <c r="D89" s="1" t="s">
        <v>59</v>
      </c>
      <c r="E89" s="1"/>
      <c r="F89" s="3" t="s">
        <v>92</v>
      </c>
      <c r="G89" s="168">
        <v>1121000</v>
      </c>
      <c r="H89" s="212">
        <v>1782000</v>
      </c>
      <c r="I89" s="9">
        <v>2433000</v>
      </c>
      <c r="J89" s="9">
        <v>3387000</v>
      </c>
      <c r="K89" s="9"/>
      <c r="L89" s="9"/>
      <c r="M89" s="9"/>
      <c r="N89" s="9"/>
      <c r="O89" s="9"/>
      <c r="P89" s="9"/>
      <c r="Q89" s="9"/>
      <c r="R89" s="9"/>
      <c r="S89" s="9">
        <f t="shared" si="51"/>
        <v>8723000</v>
      </c>
      <c r="T89" s="35">
        <v>93780000</v>
      </c>
      <c r="U89" s="50">
        <f t="shared" si="47"/>
        <v>9.3015568351460867E-2</v>
      </c>
      <c r="V89" s="163">
        <f t="shared" si="52"/>
        <v>85057000</v>
      </c>
      <c r="AA89" s="276"/>
    </row>
    <row r="90" spans="1:27" ht="13.9" customHeight="1" x14ac:dyDescent="0.2">
      <c r="A90" s="257">
        <v>21</v>
      </c>
      <c r="B90" s="236" t="s">
        <v>46</v>
      </c>
      <c r="C90" s="257" t="s">
        <v>59</v>
      </c>
      <c r="D90" s="257" t="s">
        <v>59</v>
      </c>
      <c r="E90" s="257"/>
      <c r="F90" s="248" t="s">
        <v>93</v>
      </c>
      <c r="G90" s="239">
        <f t="shared" ref="G90:T90" si="53">G91</f>
        <v>0</v>
      </c>
      <c r="H90" s="239">
        <f>H91</f>
        <v>0</v>
      </c>
      <c r="I90" s="239">
        <f t="shared" si="53"/>
        <v>4613358</v>
      </c>
      <c r="J90" s="239">
        <f t="shared" si="53"/>
        <v>0</v>
      </c>
      <c r="K90" s="239">
        <f t="shared" si="53"/>
        <v>0</v>
      </c>
      <c r="L90" s="239">
        <f t="shared" si="53"/>
        <v>0</v>
      </c>
      <c r="M90" s="239">
        <f t="shared" si="53"/>
        <v>0</v>
      </c>
      <c r="N90" s="239">
        <f t="shared" si="53"/>
        <v>0</v>
      </c>
      <c r="O90" s="239">
        <f t="shared" si="53"/>
        <v>0</v>
      </c>
      <c r="P90" s="239">
        <f t="shared" si="53"/>
        <v>0</v>
      </c>
      <c r="Q90" s="239">
        <f t="shared" si="53"/>
        <v>0</v>
      </c>
      <c r="R90" s="239">
        <f t="shared" si="53"/>
        <v>0</v>
      </c>
      <c r="S90" s="239">
        <f t="shared" si="53"/>
        <v>4613358</v>
      </c>
      <c r="T90" s="241">
        <f t="shared" si="53"/>
        <v>31260000</v>
      </c>
      <c r="U90" s="242">
        <f>+S90/T90</f>
        <v>0.14758023032629558</v>
      </c>
      <c r="V90" s="246">
        <f>V91</f>
        <v>26646642</v>
      </c>
      <c r="AA90" s="276"/>
    </row>
    <row r="91" spans="1:27" x14ac:dyDescent="0.2">
      <c r="A91" s="1" t="s">
        <v>59</v>
      </c>
      <c r="B91" s="1" t="s">
        <v>59</v>
      </c>
      <c r="C91" s="2" t="s">
        <v>28</v>
      </c>
      <c r="D91" s="1" t="s">
        <v>59</v>
      </c>
      <c r="E91" s="1"/>
      <c r="F91" s="166" t="s">
        <v>464</v>
      </c>
      <c r="G91" s="168">
        <v>0</v>
      </c>
      <c r="H91" s="168">
        <v>0</v>
      </c>
      <c r="I91" s="168">
        <v>4613358</v>
      </c>
      <c r="J91" s="168"/>
      <c r="K91" s="168"/>
      <c r="L91" s="168"/>
      <c r="M91" s="168"/>
      <c r="N91" s="168"/>
      <c r="O91" s="168"/>
      <c r="P91" s="168"/>
      <c r="Q91" s="168"/>
      <c r="R91" s="168"/>
      <c r="S91" s="168">
        <f>SUM(G91:R91)</f>
        <v>4613358</v>
      </c>
      <c r="T91" s="33">
        <v>31260000</v>
      </c>
      <c r="U91" s="51">
        <f>+S91/T91</f>
        <v>0.14758023032629558</v>
      </c>
      <c r="V91" s="163">
        <f>+T91-S91</f>
        <v>26646642</v>
      </c>
      <c r="AA91" s="276"/>
    </row>
    <row r="92" spans="1:27" ht="13.9" customHeight="1" thickBot="1" x14ac:dyDescent="0.25">
      <c r="A92" s="169"/>
      <c r="B92" s="170"/>
      <c r="C92" s="170"/>
      <c r="D92" s="170"/>
      <c r="E92" s="170"/>
      <c r="F92" s="170"/>
      <c r="G92" s="171"/>
      <c r="H92" s="171"/>
      <c r="I92" s="171"/>
      <c r="J92" s="171"/>
      <c r="K92" s="171"/>
      <c r="L92" s="171"/>
      <c r="M92" s="171"/>
      <c r="N92" s="171"/>
      <c r="O92" s="171"/>
      <c r="P92" s="171"/>
      <c r="Q92" s="171"/>
      <c r="R92" s="171"/>
      <c r="S92" s="171"/>
      <c r="T92" s="89"/>
      <c r="U92" s="36"/>
      <c r="V92" s="172"/>
      <c r="AA92" s="276"/>
    </row>
    <row r="93" spans="1:27" ht="15.95" customHeight="1" x14ac:dyDescent="0.2">
      <c r="A93" s="229" t="s">
        <v>59</v>
      </c>
      <c r="B93" s="230" t="s">
        <v>59</v>
      </c>
      <c r="C93" s="230" t="s">
        <v>59</v>
      </c>
      <c r="D93" s="230" t="s">
        <v>59</v>
      </c>
      <c r="E93" s="230"/>
      <c r="F93" s="231" t="s">
        <v>94</v>
      </c>
      <c r="G93" s="232">
        <f t="shared" ref="G93:T93" si="54">G94+G97+G101+G106+G119+G129+G137+G142+G150+G158+G162+G167</f>
        <v>1778334139</v>
      </c>
      <c r="H93" s="232">
        <f t="shared" si="54"/>
        <v>3661183659</v>
      </c>
      <c r="I93" s="232">
        <f t="shared" ref="I93" si="55">I94+I97+I101+I106+I119+I129+I137+I142+I150+I158+I162+I167</f>
        <v>5518134543</v>
      </c>
      <c r="J93" s="232">
        <f t="shared" ref="J93:R93" si="56">J94+J97+J101+J106+J119+J129+J137+J142+J150+J158+J162+J167</f>
        <v>4174084475</v>
      </c>
      <c r="K93" s="232">
        <f t="shared" si="56"/>
        <v>0</v>
      </c>
      <c r="L93" s="232">
        <f t="shared" si="56"/>
        <v>0</v>
      </c>
      <c r="M93" s="232">
        <f t="shared" si="56"/>
        <v>0</v>
      </c>
      <c r="N93" s="232">
        <f t="shared" si="56"/>
        <v>0</v>
      </c>
      <c r="O93" s="232">
        <f t="shared" si="56"/>
        <v>0</v>
      </c>
      <c r="P93" s="232">
        <f t="shared" si="56"/>
        <v>0</v>
      </c>
      <c r="Q93" s="232">
        <f t="shared" si="56"/>
        <v>0</v>
      </c>
      <c r="R93" s="232">
        <f t="shared" si="56"/>
        <v>0</v>
      </c>
      <c r="S93" s="232">
        <f t="shared" si="54"/>
        <v>15131736816</v>
      </c>
      <c r="T93" s="232">
        <f t="shared" si="54"/>
        <v>57185693000</v>
      </c>
      <c r="U93" s="233">
        <f>+S93/T93</f>
        <v>0.26460703756794551</v>
      </c>
      <c r="V93" s="234">
        <f>V94+V97+V101+V106+V119+V129+V137+V142+V150+V158+V162+V167</f>
        <v>42053956184</v>
      </c>
      <c r="AA93" s="276"/>
    </row>
    <row r="94" spans="1:27" ht="13.9" customHeight="1" x14ac:dyDescent="0.2">
      <c r="A94" s="1">
        <v>22</v>
      </c>
      <c r="B94" s="2" t="s">
        <v>26</v>
      </c>
      <c r="C94" s="2" t="s">
        <v>59</v>
      </c>
      <c r="D94" s="166" t="s">
        <v>59</v>
      </c>
      <c r="E94" s="166"/>
      <c r="F94" s="3" t="s">
        <v>95</v>
      </c>
      <c r="G94" s="9">
        <f t="shared" ref="G94:T94" si="57">G95+G96</f>
        <v>3865711</v>
      </c>
      <c r="H94" s="9">
        <f t="shared" ref="H94:I94" si="58">H95+H96</f>
        <v>2201523</v>
      </c>
      <c r="I94" s="9">
        <f t="shared" si="58"/>
        <v>2604746</v>
      </c>
      <c r="J94" s="9">
        <f t="shared" ref="J94:R94" si="59">J95+J96</f>
        <v>14413975</v>
      </c>
      <c r="K94" s="9">
        <f t="shared" si="59"/>
        <v>0</v>
      </c>
      <c r="L94" s="9">
        <f t="shared" si="59"/>
        <v>0</v>
      </c>
      <c r="M94" s="9">
        <f t="shared" si="59"/>
        <v>0</v>
      </c>
      <c r="N94" s="9">
        <f t="shared" si="59"/>
        <v>0</v>
      </c>
      <c r="O94" s="9">
        <f t="shared" si="59"/>
        <v>0</v>
      </c>
      <c r="P94" s="9">
        <f t="shared" si="59"/>
        <v>0</v>
      </c>
      <c r="Q94" s="9">
        <f t="shared" si="59"/>
        <v>0</v>
      </c>
      <c r="R94" s="9">
        <f t="shared" si="59"/>
        <v>0</v>
      </c>
      <c r="S94" s="9">
        <f t="shared" si="57"/>
        <v>23085955</v>
      </c>
      <c r="T94" s="134">
        <f t="shared" si="57"/>
        <v>103042600</v>
      </c>
      <c r="U94" s="50">
        <f>+S94/T94</f>
        <v>0.22404282306541179</v>
      </c>
      <c r="V94" s="48">
        <f>V95+V96</f>
        <v>79956645</v>
      </c>
      <c r="AA94" s="276"/>
    </row>
    <row r="95" spans="1:27" ht="14.45" customHeight="1" x14ac:dyDescent="0.2">
      <c r="A95" s="1" t="s">
        <v>59</v>
      </c>
      <c r="B95" s="2" t="s">
        <v>59</v>
      </c>
      <c r="C95" s="2" t="s">
        <v>28</v>
      </c>
      <c r="D95" s="166" t="s">
        <v>59</v>
      </c>
      <c r="E95" s="166"/>
      <c r="F95" s="166" t="s">
        <v>96</v>
      </c>
      <c r="G95" s="92">
        <v>3865711</v>
      </c>
      <c r="H95" s="33">
        <v>2201523</v>
      </c>
      <c r="I95" s="33">
        <v>2604746</v>
      </c>
      <c r="J95" s="33">
        <v>14413975</v>
      </c>
      <c r="K95" s="33"/>
      <c r="L95" s="33"/>
      <c r="M95" s="33"/>
      <c r="N95" s="33"/>
      <c r="O95" s="33"/>
      <c r="P95" s="33"/>
      <c r="Q95" s="33"/>
      <c r="R95" s="33"/>
      <c r="S95" s="33">
        <f>SUM(G95:R95)</f>
        <v>23085955</v>
      </c>
      <c r="T95" s="268">
        <v>103042600</v>
      </c>
      <c r="U95" s="51">
        <f>+S95/T95</f>
        <v>0.22404282306541179</v>
      </c>
      <c r="V95" s="163">
        <f>+T95-S95</f>
        <v>79956645</v>
      </c>
      <c r="AA95" s="276"/>
    </row>
    <row r="96" spans="1:27" ht="14.45" customHeight="1" x14ac:dyDescent="0.2">
      <c r="A96" s="1"/>
      <c r="B96" s="2"/>
      <c r="C96" s="2" t="s">
        <v>32</v>
      </c>
      <c r="D96" s="166"/>
      <c r="E96" s="166"/>
      <c r="F96" s="166" t="s">
        <v>97</v>
      </c>
      <c r="G96" s="168">
        <v>0</v>
      </c>
      <c r="H96" s="168">
        <v>0</v>
      </c>
      <c r="I96" s="168">
        <v>0</v>
      </c>
      <c r="J96" s="168">
        <v>0</v>
      </c>
      <c r="K96" s="168"/>
      <c r="L96" s="168"/>
      <c r="M96" s="168"/>
      <c r="N96" s="168"/>
      <c r="O96" s="168"/>
      <c r="P96" s="168"/>
      <c r="Q96" s="168"/>
      <c r="R96" s="168"/>
      <c r="S96" s="168">
        <f>SUM(G96:R96)</f>
        <v>0</v>
      </c>
      <c r="T96" s="33">
        <v>0</v>
      </c>
      <c r="U96" s="51" t="s">
        <v>31</v>
      </c>
      <c r="V96" s="163">
        <f>+T96-S96</f>
        <v>0</v>
      </c>
      <c r="AA96" s="276"/>
    </row>
    <row r="97" spans="1:27" ht="13.9" customHeight="1" x14ac:dyDescent="0.2">
      <c r="A97" s="1">
        <v>22</v>
      </c>
      <c r="B97" s="2" t="s">
        <v>34</v>
      </c>
      <c r="C97" s="2" t="s">
        <v>59</v>
      </c>
      <c r="D97" s="166" t="s">
        <v>59</v>
      </c>
      <c r="E97" s="166"/>
      <c r="F97" s="3" t="s">
        <v>98</v>
      </c>
      <c r="G97" s="9">
        <f t="shared" ref="G97:S97" si="60">G98+G99+G100</f>
        <v>836074</v>
      </c>
      <c r="H97" s="9">
        <f t="shared" ref="H97:I97" si="61">H98+H99+H100</f>
        <v>45300</v>
      </c>
      <c r="I97" s="9">
        <f t="shared" si="61"/>
        <v>72980</v>
      </c>
      <c r="J97" s="9">
        <f t="shared" ref="J97:R97" si="62">J98+J99+J100</f>
        <v>2941513</v>
      </c>
      <c r="K97" s="9">
        <f t="shared" si="62"/>
        <v>0</v>
      </c>
      <c r="L97" s="9">
        <f t="shared" si="62"/>
        <v>0</v>
      </c>
      <c r="M97" s="9">
        <f t="shared" si="62"/>
        <v>0</v>
      </c>
      <c r="N97" s="9">
        <f t="shared" si="62"/>
        <v>0</v>
      </c>
      <c r="O97" s="9">
        <f t="shared" si="62"/>
        <v>0</v>
      </c>
      <c r="P97" s="9">
        <f t="shared" si="62"/>
        <v>0</v>
      </c>
      <c r="Q97" s="9">
        <f t="shared" si="62"/>
        <v>0</v>
      </c>
      <c r="R97" s="9">
        <f t="shared" si="62"/>
        <v>0</v>
      </c>
      <c r="S97" s="9">
        <f t="shared" si="60"/>
        <v>3895867</v>
      </c>
      <c r="T97" s="134">
        <f>SUM(T98:T100)</f>
        <v>45308233</v>
      </c>
      <c r="U97" s="50">
        <f t="shared" ref="U97:U102" si="63">+S97/T97</f>
        <v>8.5985851622154413E-2</v>
      </c>
      <c r="V97" s="48">
        <f>V98+V99+V100</f>
        <v>41412366</v>
      </c>
      <c r="AA97" s="276"/>
    </row>
    <row r="98" spans="1:27" ht="14.45" customHeight="1" x14ac:dyDescent="0.2">
      <c r="A98" s="1" t="s">
        <v>59</v>
      </c>
      <c r="B98" s="2" t="s">
        <v>59</v>
      </c>
      <c r="C98" s="2" t="s">
        <v>28</v>
      </c>
      <c r="D98" s="166" t="s">
        <v>59</v>
      </c>
      <c r="E98" s="166"/>
      <c r="F98" s="166" t="s">
        <v>99</v>
      </c>
      <c r="G98" s="92">
        <v>791190</v>
      </c>
      <c r="H98" s="168">
        <v>45300</v>
      </c>
      <c r="I98" s="168">
        <v>72980</v>
      </c>
      <c r="J98" s="168">
        <v>0</v>
      </c>
      <c r="K98" s="168"/>
      <c r="L98" s="168"/>
      <c r="M98" s="168"/>
      <c r="N98" s="168"/>
      <c r="O98" s="168"/>
      <c r="P98" s="168"/>
      <c r="Q98" s="168"/>
      <c r="R98" s="168"/>
      <c r="S98" s="168">
        <f>SUM(G98:R98)</f>
        <v>909470</v>
      </c>
      <c r="T98" s="33">
        <v>2484676</v>
      </c>
      <c r="U98" s="51">
        <f t="shared" si="63"/>
        <v>0.36603162746370149</v>
      </c>
      <c r="V98" s="163">
        <f>+T98-S98</f>
        <v>1575206</v>
      </c>
      <c r="AA98" s="276"/>
    </row>
    <row r="99" spans="1:27" ht="14.45" customHeight="1" x14ac:dyDescent="0.2">
      <c r="A99" s="1" t="s">
        <v>59</v>
      </c>
      <c r="B99" s="2" t="s">
        <v>59</v>
      </c>
      <c r="C99" s="2" t="s">
        <v>32</v>
      </c>
      <c r="D99" s="166" t="s">
        <v>59</v>
      </c>
      <c r="E99" s="166"/>
      <c r="F99" s="166" t="s">
        <v>100</v>
      </c>
      <c r="G99" s="92">
        <v>44884</v>
      </c>
      <c r="H99" s="168">
        <v>0</v>
      </c>
      <c r="I99" s="168">
        <v>0</v>
      </c>
      <c r="J99" s="168">
        <v>2941513</v>
      </c>
      <c r="K99" s="168"/>
      <c r="L99" s="168"/>
      <c r="M99" s="168"/>
      <c r="N99" s="168"/>
      <c r="O99" s="168"/>
      <c r="P99" s="168"/>
      <c r="Q99" s="168"/>
      <c r="R99" s="168"/>
      <c r="S99" s="168">
        <f>SUM(G99:R99)</f>
        <v>2986397</v>
      </c>
      <c r="T99" s="33">
        <v>11105447</v>
      </c>
      <c r="U99" s="51">
        <f t="shared" si="63"/>
        <v>0.26891281368503223</v>
      </c>
      <c r="V99" s="163">
        <f>+T99-S99</f>
        <v>8119050</v>
      </c>
      <c r="AA99" s="276"/>
    </row>
    <row r="100" spans="1:27" ht="14.45" customHeight="1" x14ac:dyDescent="0.2">
      <c r="A100" s="1" t="s">
        <v>59</v>
      </c>
      <c r="B100" s="2" t="s">
        <v>59</v>
      </c>
      <c r="C100" s="2" t="s">
        <v>63</v>
      </c>
      <c r="D100" s="166" t="s">
        <v>59</v>
      </c>
      <c r="E100" s="166"/>
      <c r="F100" s="166" t="s">
        <v>101</v>
      </c>
      <c r="G100" s="168">
        <v>0</v>
      </c>
      <c r="H100" s="168">
        <v>0</v>
      </c>
      <c r="I100" s="168">
        <v>0</v>
      </c>
      <c r="J100" s="168">
        <v>0</v>
      </c>
      <c r="K100" s="168"/>
      <c r="L100" s="168"/>
      <c r="M100" s="168"/>
      <c r="N100" s="168"/>
      <c r="O100" s="168"/>
      <c r="P100" s="168"/>
      <c r="Q100" s="168"/>
      <c r="R100" s="168"/>
      <c r="S100" s="168">
        <f>SUM(G100:R100)</f>
        <v>0</v>
      </c>
      <c r="T100" s="33">
        <v>31718110</v>
      </c>
      <c r="U100" s="51">
        <f t="shared" si="63"/>
        <v>0</v>
      </c>
      <c r="V100" s="163">
        <f>+T100-S100</f>
        <v>31718110</v>
      </c>
      <c r="AA100" s="276"/>
    </row>
    <row r="101" spans="1:27" ht="13.9" customHeight="1" x14ac:dyDescent="0.2">
      <c r="A101" s="1">
        <v>22</v>
      </c>
      <c r="B101" s="2" t="s">
        <v>44</v>
      </c>
      <c r="C101" s="2" t="s">
        <v>59</v>
      </c>
      <c r="D101" s="166" t="s">
        <v>59</v>
      </c>
      <c r="E101" s="166"/>
      <c r="F101" s="3" t="s">
        <v>102</v>
      </c>
      <c r="G101" s="9">
        <f>G102+G105+G104+G103</f>
        <v>627840</v>
      </c>
      <c r="H101" s="9">
        <f>H102+H105+H104+H103</f>
        <v>481700</v>
      </c>
      <c r="I101" s="9">
        <f t="shared" ref="I101:R101" si="64">I102+I105+I104+I103</f>
        <v>2512158</v>
      </c>
      <c r="J101" s="9">
        <f t="shared" si="64"/>
        <v>8836964</v>
      </c>
      <c r="K101" s="9">
        <f t="shared" si="64"/>
        <v>0</v>
      </c>
      <c r="L101" s="9">
        <f t="shared" si="64"/>
        <v>0</v>
      </c>
      <c r="M101" s="9">
        <f t="shared" si="64"/>
        <v>0</v>
      </c>
      <c r="N101" s="9">
        <f t="shared" si="64"/>
        <v>0</v>
      </c>
      <c r="O101" s="9">
        <f t="shared" si="64"/>
        <v>0</v>
      </c>
      <c r="P101" s="9">
        <f t="shared" si="64"/>
        <v>0</v>
      </c>
      <c r="Q101" s="9">
        <f t="shared" si="64"/>
        <v>0</v>
      </c>
      <c r="R101" s="9">
        <f t="shared" si="64"/>
        <v>0</v>
      </c>
      <c r="S101" s="9">
        <f t="shared" ref="S101:T101" si="65">S102+S103+S104+S105</f>
        <v>12458662</v>
      </c>
      <c r="T101" s="135">
        <f t="shared" si="65"/>
        <v>198544477</v>
      </c>
      <c r="U101" s="50">
        <f t="shared" si="63"/>
        <v>6.2749980197132349E-2</v>
      </c>
      <c r="V101" s="48">
        <f>V102+V103+V104+V105</f>
        <v>186085815</v>
      </c>
      <c r="AA101" s="276"/>
    </row>
    <row r="102" spans="1:27" x14ac:dyDescent="0.2">
      <c r="A102" s="1" t="s">
        <v>59</v>
      </c>
      <c r="B102" s="2" t="s">
        <v>59</v>
      </c>
      <c r="C102" s="2" t="s">
        <v>28</v>
      </c>
      <c r="D102" s="166" t="s">
        <v>59</v>
      </c>
      <c r="E102" s="166"/>
      <c r="F102" s="166" t="s">
        <v>103</v>
      </c>
      <c r="G102" s="221">
        <v>301381</v>
      </c>
      <c r="H102" s="95">
        <v>190140</v>
      </c>
      <c r="I102" s="63">
        <v>1966383</v>
      </c>
      <c r="J102" s="33">
        <v>7614744</v>
      </c>
      <c r="K102" s="33"/>
      <c r="L102" s="33"/>
      <c r="M102" s="33"/>
      <c r="N102" s="33"/>
      <c r="O102" s="33"/>
      <c r="P102" s="33"/>
      <c r="Q102" s="33"/>
      <c r="R102" s="33"/>
      <c r="S102" s="33">
        <f>SUM(G102:R102)</f>
        <v>10072648</v>
      </c>
      <c r="T102" s="33">
        <v>99106024</v>
      </c>
      <c r="U102" s="51">
        <f t="shared" si="63"/>
        <v>0.10163507316164758</v>
      </c>
      <c r="V102" s="163">
        <f>+T102-S102</f>
        <v>89033376</v>
      </c>
      <c r="AA102" s="276"/>
    </row>
    <row r="103" spans="1:27" x14ac:dyDescent="0.2">
      <c r="A103" s="1" t="s">
        <v>59</v>
      </c>
      <c r="B103" s="2" t="s">
        <v>59</v>
      </c>
      <c r="C103" s="2" t="s">
        <v>32</v>
      </c>
      <c r="D103" s="166" t="s">
        <v>59</v>
      </c>
      <c r="E103" s="166"/>
      <c r="F103" s="166" t="s">
        <v>104</v>
      </c>
      <c r="G103" s="168">
        <v>0</v>
      </c>
      <c r="H103" s="223">
        <v>0</v>
      </c>
      <c r="I103" s="168">
        <v>0</v>
      </c>
      <c r="J103" s="173">
        <v>0</v>
      </c>
      <c r="K103" s="173"/>
      <c r="L103" s="173"/>
      <c r="M103" s="173"/>
      <c r="N103" s="173"/>
      <c r="O103" s="173"/>
      <c r="P103" s="173"/>
      <c r="Q103" s="173"/>
      <c r="R103" s="173"/>
      <c r="S103" s="173">
        <f>SUM(G103:R103)</f>
        <v>0</v>
      </c>
      <c r="T103" s="56">
        <v>0</v>
      </c>
      <c r="U103" s="51" t="s">
        <v>31</v>
      </c>
      <c r="V103" s="163">
        <f>+T103-S103</f>
        <v>0</v>
      </c>
      <c r="AA103" s="276"/>
    </row>
    <row r="104" spans="1:27" x14ac:dyDescent="0.2">
      <c r="A104" s="1" t="s">
        <v>59</v>
      </c>
      <c r="B104" s="2" t="s">
        <v>59</v>
      </c>
      <c r="C104" s="2" t="s">
        <v>63</v>
      </c>
      <c r="D104" s="166" t="s">
        <v>59</v>
      </c>
      <c r="E104" s="166"/>
      <c r="F104" s="166" t="s">
        <v>105</v>
      </c>
      <c r="G104" s="168">
        <v>70000</v>
      </c>
      <c r="H104" s="212">
        <v>0</v>
      </c>
      <c r="I104" s="173">
        <v>96850</v>
      </c>
      <c r="J104" s="168">
        <v>356180</v>
      </c>
      <c r="K104" s="168"/>
      <c r="L104" s="168"/>
      <c r="M104" s="168"/>
      <c r="N104" s="168"/>
      <c r="O104" s="168"/>
      <c r="P104" s="168"/>
      <c r="Q104" s="168"/>
      <c r="R104" s="168"/>
      <c r="S104" s="168">
        <f>SUM(G104:R104)</f>
        <v>523030</v>
      </c>
      <c r="T104" s="33">
        <v>94183220</v>
      </c>
      <c r="U104" s="51">
        <f>+S104/T104</f>
        <v>5.5533246792793872E-3</v>
      </c>
      <c r="V104" s="163">
        <f>+T104-S104</f>
        <v>93660190</v>
      </c>
      <c r="AA104" s="276"/>
    </row>
    <row r="105" spans="1:27" ht="14.45" customHeight="1" x14ac:dyDescent="0.2">
      <c r="A105" s="1" t="s">
        <v>59</v>
      </c>
      <c r="B105" s="2" t="s">
        <v>59</v>
      </c>
      <c r="C105" s="2" t="s">
        <v>70</v>
      </c>
      <c r="D105" s="166" t="s">
        <v>59</v>
      </c>
      <c r="E105" s="166"/>
      <c r="F105" s="166" t="s">
        <v>106</v>
      </c>
      <c r="G105" s="168">
        <v>256459</v>
      </c>
      <c r="H105" s="95">
        <v>291560</v>
      </c>
      <c r="I105" s="33">
        <v>448925</v>
      </c>
      <c r="J105" s="33">
        <v>866040</v>
      </c>
      <c r="K105" s="33"/>
      <c r="L105" s="33"/>
      <c r="M105" s="33"/>
      <c r="N105" s="33"/>
      <c r="O105" s="33"/>
      <c r="P105" s="33"/>
      <c r="Q105" s="33"/>
      <c r="R105" s="33"/>
      <c r="S105" s="33">
        <f>SUM(G105:R105)</f>
        <v>1862984</v>
      </c>
      <c r="T105" s="33">
        <v>5255233</v>
      </c>
      <c r="U105" s="51">
        <f>+S105/T105</f>
        <v>0.35450074240285828</v>
      </c>
      <c r="V105" s="163">
        <f>+T105-S105</f>
        <v>3392249</v>
      </c>
      <c r="AA105" s="276"/>
    </row>
    <row r="106" spans="1:27" ht="13.9" customHeight="1" x14ac:dyDescent="0.2">
      <c r="A106" s="1">
        <v>22</v>
      </c>
      <c r="B106" s="2" t="s">
        <v>46</v>
      </c>
      <c r="C106" s="2" t="s">
        <v>59</v>
      </c>
      <c r="D106" s="166" t="s">
        <v>59</v>
      </c>
      <c r="E106" s="166"/>
      <c r="F106" s="3" t="s">
        <v>107</v>
      </c>
      <c r="G106" s="9">
        <f t="shared" ref="G106:T106" si="66">SUM(G107:G118)</f>
        <v>4840727</v>
      </c>
      <c r="H106" s="9">
        <f t="shared" ref="H106:I106" si="67">SUM(H107:H118)</f>
        <v>8760728</v>
      </c>
      <c r="I106" s="9">
        <f t="shared" si="67"/>
        <v>11443293</v>
      </c>
      <c r="J106" s="9">
        <f t="shared" ref="J106:R106" si="68">SUM(J107:J118)</f>
        <v>39280959</v>
      </c>
      <c r="K106" s="9">
        <f t="shared" si="68"/>
        <v>0</v>
      </c>
      <c r="L106" s="9">
        <f t="shared" si="68"/>
        <v>0</v>
      </c>
      <c r="M106" s="9">
        <f t="shared" si="68"/>
        <v>0</v>
      </c>
      <c r="N106" s="9">
        <f t="shared" si="68"/>
        <v>0</v>
      </c>
      <c r="O106" s="9">
        <f t="shared" si="68"/>
        <v>0</v>
      </c>
      <c r="P106" s="9">
        <f t="shared" si="68"/>
        <v>0</v>
      </c>
      <c r="Q106" s="9">
        <f t="shared" si="68"/>
        <v>0</v>
      </c>
      <c r="R106" s="9">
        <f t="shared" si="68"/>
        <v>0</v>
      </c>
      <c r="S106" s="9">
        <f t="shared" si="66"/>
        <v>64325707</v>
      </c>
      <c r="T106" s="135">
        <f t="shared" si="66"/>
        <v>395261699</v>
      </c>
      <c r="U106" s="50">
        <f>+S106/T106</f>
        <v>0.16274206977995104</v>
      </c>
      <c r="V106" s="48">
        <f>SUM(V107:V118)</f>
        <v>330935992</v>
      </c>
      <c r="AA106" s="276"/>
    </row>
    <row r="107" spans="1:27" ht="14.45" customHeight="1" x14ac:dyDescent="0.2">
      <c r="A107" s="1" t="s">
        <v>59</v>
      </c>
      <c r="B107" s="2" t="s">
        <v>59</v>
      </c>
      <c r="C107" s="2" t="s">
        <v>28</v>
      </c>
      <c r="D107" s="166" t="s">
        <v>59</v>
      </c>
      <c r="E107" s="166"/>
      <c r="F107" s="166" t="s">
        <v>108</v>
      </c>
      <c r="G107" s="92">
        <v>902250</v>
      </c>
      <c r="H107" s="33">
        <v>1433724</v>
      </c>
      <c r="I107" s="33">
        <v>2102731</v>
      </c>
      <c r="J107" s="33">
        <v>11441579</v>
      </c>
      <c r="K107" s="33"/>
      <c r="L107" s="33"/>
      <c r="M107" s="33"/>
      <c r="N107" s="33"/>
      <c r="O107" s="33"/>
      <c r="P107" s="33"/>
      <c r="Q107" s="33"/>
      <c r="R107" s="33"/>
      <c r="S107" s="33">
        <f t="shared" ref="S107:S118" si="69">SUM(G107:R107)</f>
        <v>15880284</v>
      </c>
      <c r="T107" s="33">
        <v>146504589</v>
      </c>
      <c r="U107" s="51">
        <f>+S107/T107</f>
        <v>0.108394447630579</v>
      </c>
      <c r="V107" s="163">
        <f t="shared" ref="V107:V118" si="70">+T107-S107</f>
        <v>130624305</v>
      </c>
      <c r="AA107" s="276"/>
    </row>
    <row r="108" spans="1:27" x14ac:dyDescent="0.2">
      <c r="A108" s="1" t="s">
        <v>59</v>
      </c>
      <c r="B108" s="2" t="s">
        <v>59</v>
      </c>
      <c r="C108" s="2" t="s">
        <v>32</v>
      </c>
      <c r="D108" s="166" t="s">
        <v>59</v>
      </c>
      <c r="E108" s="166"/>
      <c r="F108" s="166" t="s">
        <v>109</v>
      </c>
      <c r="G108" s="33">
        <v>23590</v>
      </c>
      <c r="H108" s="33">
        <v>47900</v>
      </c>
      <c r="I108" s="33">
        <v>0</v>
      </c>
      <c r="J108" s="33">
        <v>0</v>
      </c>
      <c r="K108" s="33"/>
      <c r="L108" s="33"/>
      <c r="M108" s="33"/>
      <c r="N108" s="33"/>
      <c r="O108" s="33"/>
      <c r="P108" s="33"/>
      <c r="Q108" s="33"/>
      <c r="R108" s="33"/>
      <c r="S108" s="33">
        <f t="shared" si="69"/>
        <v>71490</v>
      </c>
      <c r="T108" s="33">
        <v>795000</v>
      </c>
      <c r="U108" s="51">
        <f>+S108/T108</f>
        <v>8.9924528301886797E-2</v>
      </c>
      <c r="V108" s="163">
        <f t="shared" si="70"/>
        <v>723510</v>
      </c>
      <c r="AA108" s="276"/>
    </row>
    <row r="109" spans="1:27" ht="13.9" customHeight="1" x14ac:dyDescent="0.2">
      <c r="A109" s="1" t="s">
        <v>59</v>
      </c>
      <c r="B109" s="2" t="s">
        <v>59</v>
      </c>
      <c r="C109" s="2" t="s">
        <v>75</v>
      </c>
      <c r="D109" s="166" t="s">
        <v>59</v>
      </c>
      <c r="E109" s="166"/>
      <c r="F109" s="166" t="s">
        <v>110</v>
      </c>
      <c r="G109" s="168">
        <v>0</v>
      </c>
      <c r="H109" s="168">
        <v>0</v>
      </c>
      <c r="I109" s="168">
        <v>0</v>
      </c>
      <c r="J109" s="168">
        <v>0</v>
      </c>
      <c r="K109" s="168"/>
      <c r="L109" s="168"/>
      <c r="M109" s="168"/>
      <c r="N109" s="168"/>
      <c r="O109" s="168"/>
      <c r="P109" s="168"/>
      <c r="Q109" s="168"/>
      <c r="R109" s="168"/>
      <c r="S109" s="168">
        <f t="shared" si="69"/>
        <v>0</v>
      </c>
      <c r="T109" s="33">
        <v>0</v>
      </c>
      <c r="U109" s="51" t="s">
        <v>31</v>
      </c>
      <c r="V109" s="163">
        <f t="shared" si="70"/>
        <v>0</v>
      </c>
      <c r="AA109" s="276"/>
    </row>
    <row r="110" spans="1:27" ht="14.45" customHeight="1" x14ac:dyDescent="0.2">
      <c r="A110" s="1" t="s">
        <v>59</v>
      </c>
      <c r="B110" s="2" t="s">
        <v>59</v>
      </c>
      <c r="C110" s="2" t="s">
        <v>76</v>
      </c>
      <c r="D110" s="166" t="s">
        <v>59</v>
      </c>
      <c r="E110" s="166"/>
      <c r="F110" s="166" t="s">
        <v>111</v>
      </c>
      <c r="G110" s="92">
        <v>240860</v>
      </c>
      <c r="H110" s="33">
        <v>608620</v>
      </c>
      <c r="I110" s="33">
        <v>633790</v>
      </c>
      <c r="J110" s="33">
        <v>10678852</v>
      </c>
      <c r="K110" s="33"/>
      <c r="L110" s="33"/>
      <c r="M110" s="33"/>
      <c r="N110" s="33"/>
      <c r="O110" s="33"/>
      <c r="P110" s="33"/>
      <c r="Q110" s="33"/>
      <c r="R110" s="33"/>
      <c r="S110" s="33">
        <f t="shared" si="69"/>
        <v>12162122</v>
      </c>
      <c r="T110" s="33">
        <v>91638161</v>
      </c>
      <c r="U110" s="51">
        <f t="shared" ref="U110:U127" si="71">+S110/T110</f>
        <v>0.13271896628305319</v>
      </c>
      <c r="V110" s="163">
        <f t="shared" si="70"/>
        <v>79476039</v>
      </c>
      <c r="AA110" s="276"/>
    </row>
    <row r="111" spans="1:27" ht="14.45" customHeight="1" x14ac:dyDescent="0.2">
      <c r="A111" s="1" t="s">
        <v>59</v>
      </c>
      <c r="B111" s="2" t="s">
        <v>59</v>
      </c>
      <c r="C111" s="2" t="s">
        <v>65</v>
      </c>
      <c r="D111" s="166" t="s">
        <v>59</v>
      </c>
      <c r="E111" s="166"/>
      <c r="F111" s="166" t="s">
        <v>112</v>
      </c>
      <c r="G111" s="92">
        <v>129980</v>
      </c>
      <c r="H111" s="33">
        <v>380360</v>
      </c>
      <c r="I111" s="33">
        <v>327200</v>
      </c>
      <c r="J111" s="33">
        <v>1081750</v>
      </c>
      <c r="K111" s="33"/>
      <c r="L111" s="33"/>
      <c r="M111" s="33"/>
      <c r="N111" s="33"/>
      <c r="O111" s="33"/>
      <c r="P111" s="33"/>
      <c r="Q111" s="33"/>
      <c r="R111" s="33"/>
      <c r="S111" s="33">
        <f t="shared" si="69"/>
        <v>1919290</v>
      </c>
      <c r="T111" s="33">
        <v>7834340</v>
      </c>
      <c r="U111" s="51">
        <f t="shared" si="71"/>
        <v>0.2449842615970203</v>
      </c>
      <c r="V111" s="163">
        <f t="shared" si="70"/>
        <v>5915050</v>
      </c>
      <c r="AA111" s="276"/>
    </row>
    <row r="112" spans="1:27" x14ac:dyDescent="0.2">
      <c r="A112" s="1" t="s">
        <v>59</v>
      </c>
      <c r="B112" s="2" t="s">
        <v>59</v>
      </c>
      <c r="C112" s="2" t="s">
        <v>113</v>
      </c>
      <c r="D112" s="166" t="s">
        <v>59</v>
      </c>
      <c r="E112" s="166"/>
      <c r="F112" s="166" t="s">
        <v>114</v>
      </c>
      <c r="G112" s="92">
        <v>430580</v>
      </c>
      <c r="H112" s="33">
        <v>679554</v>
      </c>
      <c r="I112" s="33">
        <v>1274772</v>
      </c>
      <c r="J112" s="33">
        <v>1858769</v>
      </c>
      <c r="K112" s="33"/>
      <c r="L112" s="33"/>
      <c r="M112" s="33"/>
      <c r="N112" s="33"/>
      <c r="O112" s="33"/>
      <c r="P112" s="33"/>
      <c r="Q112" s="33"/>
      <c r="R112" s="33"/>
      <c r="S112" s="33">
        <f t="shared" si="69"/>
        <v>4243675</v>
      </c>
      <c r="T112" s="33">
        <v>26534738</v>
      </c>
      <c r="U112" s="51">
        <f t="shared" si="71"/>
        <v>0.15992903340519135</v>
      </c>
      <c r="V112" s="163">
        <f t="shared" si="70"/>
        <v>22291063</v>
      </c>
      <c r="AA112" s="276"/>
    </row>
    <row r="113" spans="1:27" x14ac:dyDescent="0.2">
      <c r="A113" s="1" t="s">
        <v>59</v>
      </c>
      <c r="B113" s="2" t="s">
        <v>59</v>
      </c>
      <c r="C113" s="2" t="s">
        <v>81</v>
      </c>
      <c r="D113" s="166" t="s">
        <v>59</v>
      </c>
      <c r="E113" s="166"/>
      <c r="F113" s="166" t="s">
        <v>115</v>
      </c>
      <c r="G113" s="92">
        <v>1483520</v>
      </c>
      <c r="H113" s="33">
        <v>2080891</v>
      </c>
      <c r="I113" s="33">
        <v>3340344</v>
      </c>
      <c r="J113" s="33">
        <v>8045449</v>
      </c>
      <c r="K113" s="33"/>
      <c r="L113" s="33"/>
      <c r="M113" s="33"/>
      <c r="N113" s="33"/>
      <c r="O113" s="33"/>
      <c r="P113" s="33"/>
      <c r="Q113" s="33"/>
      <c r="R113" s="33"/>
      <c r="S113" s="33">
        <f t="shared" si="69"/>
        <v>14950204</v>
      </c>
      <c r="T113" s="33">
        <v>39566350</v>
      </c>
      <c r="U113" s="51">
        <f t="shared" si="71"/>
        <v>0.37785148238338889</v>
      </c>
      <c r="V113" s="163">
        <f t="shared" si="70"/>
        <v>24616146</v>
      </c>
      <c r="AA113" s="276"/>
    </row>
    <row r="114" spans="1:27" x14ac:dyDescent="0.2">
      <c r="A114" s="1" t="s">
        <v>59</v>
      </c>
      <c r="B114" s="2" t="s">
        <v>59</v>
      </c>
      <c r="C114" s="2" t="s">
        <v>116</v>
      </c>
      <c r="D114" s="166" t="s">
        <v>59</v>
      </c>
      <c r="E114" s="166"/>
      <c r="F114" s="166" t="s">
        <v>117</v>
      </c>
      <c r="G114" s="92">
        <v>569224</v>
      </c>
      <c r="H114" s="168">
        <v>400110</v>
      </c>
      <c r="I114" s="168">
        <v>891625</v>
      </c>
      <c r="J114" s="168">
        <v>510030</v>
      </c>
      <c r="K114" s="168"/>
      <c r="L114" s="168"/>
      <c r="M114" s="168"/>
      <c r="N114" s="168"/>
      <c r="O114" s="168"/>
      <c r="P114" s="168"/>
      <c r="Q114" s="168"/>
      <c r="R114" s="168"/>
      <c r="S114" s="168">
        <f t="shared" si="69"/>
        <v>2370989</v>
      </c>
      <c r="T114" s="33">
        <v>7879755</v>
      </c>
      <c r="U114" s="51">
        <f t="shared" si="71"/>
        <v>0.30089628421188225</v>
      </c>
      <c r="V114" s="163">
        <f t="shared" si="70"/>
        <v>5508766</v>
      </c>
      <c r="AA114" s="276"/>
    </row>
    <row r="115" spans="1:27" x14ac:dyDescent="0.2">
      <c r="A115" s="1" t="s">
        <v>59</v>
      </c>
      <c r="B115" s="2" t="s">
        <v>59</v>
      </c>
      <c r="C115" s="2" t="s">
        <v>66</v>
      </c>
      <c r="D115" s="166" t="s">
        <v>59</v>
      </c>
      <c r="E115" s="166"/>
      <c r="F115" s="166" t="s">
        <v>118</v>
      </c>
      <c r="G115" s="92">
        <v>501530</v>
      </c>
      <c r="H115" s="33">
        <v>348404</v>
      </c>
      <c r="I115" s="33">
        <v>653013</v>
      </c>
      <c r="J115" s="33">
        <v>1253406</v>
      </c>
      <c r="K115" s="33"/>
      <c r="L115" s="33"/>
      <c r="M115" s="33"/>
      <c r="N115" s="33"/>
      <c r="O115" s="33"/>
      <c r="P115" s="33"/>
      <c r="Q115" s="33"/>
      <c r="R115" s="33"/>
      <c r="S115" s="33">
        <f t="shared" si="69"/>
        <v>2756353</v>
      </c>
      <c r="T115" s="33">
        <v>17011391</v>
      </c>
      <c r="U115" s="51">
        <f t="shared" si="71"/>
        <v>0.16202984223923841</v>
      </c>
      <c r="V115" s="163">
        <f t="shared" si="70"/>
        <v>14255038</v>
      </c>
      <c r="AA115" s="276"/>
    </row>
    <row r="116" spans="1:27" ht="14.45" customHeight="1" x14ac:dyDescent="0.2">
      <c r="A116" s="1" t="s">
        <v>59</v>
      </c>
      <c r="B116" s="2" t="s">
        <v>59</v>
      </c>
      <c r="C116" s="2" t="s">
        <v>119</v>
      </c>
      <c r="D116" s="166" t="s">
        <v>59</v>
      </c>
      <c r="E116" s="166"/>
      <c r="F116" s="166" t="s">
        <v>120</v>
      </c>
      <c r="G116" s="92">
        <v>134960</v>
      </c>
      <c r="H116" s="33">
        <v>258960</v>
      </c>
      <c r="I116" s="33">
        <v>384142</v>
      </c>
      <c r="J116" s="33">
        <v>93794</v>
      </c>
      <c r="K116" s="33"/>
      <c r="L116" s="33"/>
      <c r="M116" s="33"/>
      <c r="N116" s="33"/>
      <c r="O116" s="33"/>
      <c r="P116" s="33"/>
      <c r="Q116" s="33"/>
      <c r="R116" s="33"/>
      <c r="S116" s="33">
        <f t="shared" si="69"/>
        <v>871856</v>
      </c>
      <c r="T116" s="33">
        <v>8301685</v>
      </c>
      <c r="U116" s="51">
        <f t="shared" si="71"/>
        <v>0.10502157092204775</v>
      </c>
      <c r="V116" s="163">
        <f t="shared" si="70"/>
        <v>7429829</v>
      </c>
      <c r="AA116" s="276"/>
    </row>
    <row r="117" spans="1:27" x14ac:dyDescent="0.2">
      <c r="A117" s="1" t="s">
        <v>59</v>
      </c>
      <c r="B117" s="2" t="s">
        <v>59</v>
      </c>
      <c r="C117" s="2" t="s">
        <v>121</v>
      </c>
      <c r="D117" s="166" t="s">
        <v>59</v>
      </c>
      <c r="E117" s="166"/>
      <c r="F117" s="166" t="s">
        <v>122</v>
      </c>
      <c r="G117" s="92">
        <v>271112</v>
      </c>
      <c r="H117" s="33">
        <v>293100</v>
      </c>
      <c r="I117" s="33">
        <v>399336</v>
      </c>
      <c r="J117" s="33">
        <v>651398</v>
      </c>
      <c r="K117" s="33"/>
      <c r="L117" s="33"/>
      <c r="M117" s="33"/>
      <c r="N117" s="33"/>
      <c r="O117" s="33"/>
      <c r="P117" s="33"/>
      <c r="Q117" s="33"/>
      <c r="R117" s="33"/>
      <c r="S117" s="33">
        <f t="shared" si="69"/>
        <v>1614946</v>
      </c>
      <c r="T117" s="33">
        <v>13066370</v>
      </c>
      <c r="U117" s="51">
        <f t="shared" si="71"/>
        <v>0.12359561224731888</v>
      </c>
      <c r="V117" s="163">
        <f>+T117-S117</f>
        <v>11451424</v>
      </c>
      <c r="AA117" s="276"/>
    </row>
    <row r="118" spans="1:27" ht="14.45" customHeight="1" x14ac:dyDescent="0.2">
      <c r="A118" s="1" t="s">
        <v>59</v>
      </c>
      <c r="B118" s="2" t="s">
        <v>59</v>
      </c>
      <c r="C118" s="2" t="s">
        <v>70</v>
      </c>
      <c r="D118" s="166" t="s">
        <v>59</v>
      </c>
      <c r="E118" s="166"/>
      <c r="F118" s="166" t="s">
        <v>123</v>
      </c>
      <c r="G118" s="92">
        <v>153121</v>
      </c>
      <c r="H118" s="33">
        <v>2229105</v>
      </c>
      <c r="I118" s="33">
        <v>1436340</v>
      </c>
      <c r="J118" s="33">
        <v>3665932</v>
      </c>
      <c r="K118" s="33"/>
      <c r="L118" s="33"/>
      <c r="M118" s="33"/>
      <c r="N118" s="33"/>
      <c r="O118" s="33"/>
      <c r="P118" s="33"/>
      <c r="Q118" s="33"/>
      <c r="R118" s="33"/>
      <c r="S118" s="33">
        <f t="shared" si="69"/>
        <v>7484498</v>
      </c>
      <c r="T118" s="33">
        <v>36129320</v>
      </c>
      <c r="U118" s="51">
        <f t="shared" si="71"/>
        <v>0.20715856263001906</v>
      </c>
      <c r="V118" s="163">
        <f t="shared" si="70"/>
        <v>28644822</v>
      </c>
      <c r="AA118" s="276"/>
    </row>
    <row r="119" spans="1:27" x14ac:dyDescent="0.2">
      <c r="A119" s="1">
        <v>22</v>
      </c>
      <c r="B119" s="2" t="s">
        <v>48</v>
      </c>
      <c r="C119" s="2" t="s">
        <v>59</v>
      </c>
      <c r="D119" s="166" t="s">
        <v>59</v>
      </c>
      <c r="E119" s="166"/>
      <c r="F119" s="3" t="s">
        <v>124</v>
      </c>
      <c r="G119" s="9">
        <f>SUM(G120:G128)</f>
        <v>230292958</v>
      </c>
      <c r="H119" s="9">
        <f t="shared" ref="H119:I119" si="72">SUM(H120:H128)</f>
        <v>458840944</v>
      </c>
      <c r="I119" s="9">
        <f t="shared" si="72"/>
        <v>506022053</v>
      </c>
      <c r="J119" s="9">
        <f t="shared" ref="J119:R119" si="73">SUM(J120:J128)</f>
        <v>735871007</v>
      </c>
      <c r="K119" s="9">
        <f t="shared" si="73"/>
        <v>0</v>
      </c>
      <c r="L119" s="9">
        <f t="shared" si="73"/>
        <v>0</v>
      </c>
      <c r="M119" s="9">
        <f t="shared" si="73"/>
        <v>0</v>
      </c>
      <c r="N119" s="9">
        <f t="shared" si="73"/>
        <v>0</v>
      </c>
      <c r="O119" s="9">
        <f t="shared" si="73"/>
        <v>0</v>
      </c>
      <c r="P119" s="9">
        <f t="shared" si="73"/>
        <v>0</v>
      </c>
      <c r="Q119" s="9">
        <f t="shared" si="73"/>
        <v>0</v>
      </c>
      <c r="R119" s="9">
        <f t="shared" si="73"/>
        <v>0</v>
      </c>
      <c r="S119" s="9">
        <f t="shared" ref="S119:T119" si="74">SUM(S120:S128)</f>
        <v>1931026962</v>
      </c>
      <c r="T119" s="135">
        <f t="shared" si="74"/>
        <v>6041073778</v>
      </c>
      <c r="U119" s="50">
        <f t="shared" si="71"/>
        <v>0.31964962405065994</v>
      </c>
      <c r="V119" s="48">
        <f>SUM(V120:V128)</f>
        <v>4110046816</v>
      </c>
      <c r="AA119" s="276"/>
    </row>
    <row r="120" spans="1:27" ht="14.45" customHeight="1" x14ac:dyDescent="0.2">
      <c r="A120" s="1" t="s">
        <v>59</v>
      </c>
      <c r="B120" s="2" t="s">
        <v>59</v>
      </c>
      <c r="C120" s="2" t="s">
        <v>28</v>
      </c>
      <c r="D120" s="166" t="s">
        <v>59</v>
      </c>
      <c r="E120" s="166"/>
      <c r="F120" s="166" t="s">
        <v>125</v>
      </c>
      <c r="G120" s="92">
        <v>203753126</v>
      </c>
      <c r="H120" s="33">
        <v>218326965</v>
      </c>
      <c r="I120" s="33">
        <v>235569046</v>
      </c>
      <c r="J120" s="33">
        <v>204141632</v>
      </c>
      <c r="K120" s="33"/>
      <c r="L120" s="33"/>
      <c r="M120" s="33"/>
      <c r="N120" s="33"/>
      <c r="O120" s="33"/>
      <c r="P120" s="33"/>
      <c r="Q120" s="33"/>
      <c r="R120" s="33"/>
      <c r="S120" s="33">
        <f>SUM(G120:R120)</f>
        <v>861790769</v>
      </c>
      <c r="T120" s="33">
        <v>2652879864</v>
      </c>
      <c r="U120" s="51">
        <f t="shared" si="71"/>
        <v>0.32485103479227884</v>
      </c>
      <c r="V120" s="163">
        <f t="shared" ref="V120:V128" si="75">+T120-S120</f>
        <v>1791089095</v>
      </c>
      <c r="AA120" s="276"/>
    </row>
    <row r="121" spans="1:27" ht="14.45" customHeight="1" x14ac:dyDescent="0.2">
      <c r="A121" s="1" t="s">
        <v>59</v>
      </c>
      <c r="B121" s="2" t="s">
        <v>59</v>
      </c>
      <c r="C121" s="2" t="s">
        <v>32</v>
      </c>
      <c r="D121" s="166" t="s">
        <v>59</v>
      </c>
      <c r="E121" s="166"/>
      <c r="F121" s="166" t="s">
        <v>126</v>
      </c>
      <c r="G121" s="92">
        <v>19338283</v>
      </c>
      <c r="H121" s="33">
        <v>16529201</v>
      </c>
      <c r="I121" s="33">
        <v>23156509</v>
      </c>
      <c r="J121" s="33">
        <v>16531472</v>
      </c>
      <c r="K121" s="33"/>
      <c r="L121" s="33"/>
      <c r="M121" s="33"/>
      <c r="N121" s="33"/>
      <c r="O121" s="33"/>
      <c r="P121" s="33"/>
      <c r="Q121" s="33"/>
      <c r="R121" s="33"/>
      <c r="S121" s="33">
        <f t="shared" ref="S121:S128" si="76">SUM(G121:R121)</f>
        <v>75555465</v>
      </c>
      <c r="T121" s="33">
        <v>237132562</v>
      </c>
      <c r="U121" s="51">
        <f t="shared" si="71"/>
        <v>0.31862121491353851</v>
      </c>
      <c r="V121" s="163">
        <f t="shared" si="75"/>
        <v>161577097</v>
      </c>
      <c r="AA121" s="276"/>
    </row>
    <row r="122" spans="1:27" ht="14.45" customHeight="1" x14ac:dyDescent="0.2">
      <c r="A122" s="1" t="s">
        <v>59</v>
      </c>
      <c r="B122" s="2" t="s">
        <v>59</v>
      </c>
      <c r="C122" s="2" t="s">
        <v>63</v>
      </c>
      <c r="D122" s="166" t="s">
        <v>59</v>
      </c>
      <c r="E122" s="166"/>
      <c r="F122" s="166" t="s">
        <v>127</v>
      </c>
      <c r="G122" s="92">
        <v>1183250</v>
      </c>
      <c r="H122" s="33">
        <v>841200</v>
      </c>
      <c r="I122" s="33">
        <v>2218273</v>
      </c>
      <c r="J122" s="33">
        <v>4323762</v>
      </c>
      <c r="K122" s="33"/>
      <c r="L122" s="33"/>
      <c r="M122" s="33"/>
      <c r="N122" s="33"/>
      <c r="O122" s="33"/>
      <c r="P122" s="33"/>
      <c r="Q122" s="33"/>
      <c r="R122" s="33"/>
      <c r="S122" s="33">
        <f t="shared" si="76"/>
        <v>8566485</v>
      </c>
      <c r="T122" s="33">
        <v>79068636</v>
      </c>
      <c r="U122" s="51">
        <f t="shared" si="71"/>
        <v>0.10834239002175275</v>
      </c>
      <c r="V122" s="163">
        <f t="shared" si="75"/>
        <v>70502151</v>
      </c>
      <c r="AA122" s="276"/>
    </row>
    <row r="123" spans="1:27" ht="14.45" customHeight="1" x14ac:dyDescent="0.2">
      <c r="A123" s="1" t="s">
        <v>59</v>
      </c>
      <c r="B123" s="2" t="s">
        <v>59</v>
      </c>
      <c r="C123" s="2" t="s">
        <v>64</v>
      </c>
      <c r="D123" s="166" t="s">
        <v>59</v>
      </c>
      <c r="E123" s="166"/>
      <c r="F123" s="166" t="s">
        <v>128</v>
      </c>
      <c r="G123" s="92">
        <v>3385441</v>
      </c>
      <c r="H123" s="33">
        <v>4158064</v>
      </c>
      <c r="I123" s="33">
        <v>5829342</v>
      </c>
      <c r="J123" s="33">
        <v>2563191</v>
      </c>
      <c r="K123" s="33"/>
      <c r="L123" s="33"/>
      <c r="M123" s="33"/>
      <c r="N123" s="33"/>
      <c r="O123" s="33"/>
      <c r="P123" s="33"/>
      <c r="Q123" s="33"/>
      <c r="R123" s="33"/>
      <c r="S123" s="33">
        <f t="shared" si="76"/>
        <v>15936038</v>
      </c>
      <c r="T123" s="33">
        <v>63488264</v>
      </c>
      <c r="U123" s="51">
        <f t="shared" si="71"/>
        <v>0.25100761929795401</v>
      </c>
      <c r="V123" s="163">
        <f t="shared" si="75"/>
        <v>47552226</v>
      </c>
      <c r="AA123" s="276"/>
    </row>
    <row r="124" spans="1:27" x14ac:dyDescent="0.2">
      <c r="A124" s="1" t="s">
        <v>59</v>
      </c>
      <c r="B124" s="2" t="s">
        <v>59</v>
      </c>
      <c r="C124" s="2" t="s">
        <v>74</v>
      </c>
      <c r="D124" s="166" t="s">
        <v>59</v>
      </c>
      <c r="E124" s="166"/>
      <c r="F124" s="166" t="s">
        <v>129</v>
      </c>
      <c r="G124" s="92">
        <v>19980</v>
      </c>
      <c r="H124" s="33">
        <v>41914032</v>
      </c>
      <c r="I124" s="33">
        <v>41540719</v>
      </c>
      <c r="J124" s="33">
        <v>83687018</v>
      </c>
      <c r="K124" s="33"/>
      <c r="L124" s="33"/>
      <c r="M124" s="33"/>
      <c r="N124" s="33"/>
      <c r="O124" s="33"/>
      <c r="P124" s="33"/>
      <c r="Q124" s="33"/>
      <c r="R124" s="33"/>
      <c r="S124" s="33">
        <f t="shared" si="76"/>
        <v>167161749</v>
      </c>
      <c r="T124" s="33">
        <v>511251131</v>
      </c>
      <c r="U124" s="51">
        <f t="shared" si="71"/>
        <v>0.32696602288787896</v>
      </c>
      <c r="V124" s="163">
        <f t="shared" si="75"/>
        <v>344089382</v>
      </c>
      <c r="AA124" s="276"/>
    </row>
    <row r="125" spans="1:27" x14ac:dyDescent="0.2">
      <c r="A125" s="1" t="s">
        <v>59</v>
      </c>
      <c r="B125" s="2" t="s">
        <v>59</v>
      </c>
      <c r="C125" s="2" t="s">
        <v>75</v>
      </c>
      <c r="D125" s="166" t="s">
        <v>59</v>
      </c>
      <c r="E125" s="166"/>
      <c r="F125" s="166" t="s">
        <v>130</v>
      </c>
      <c r="G125" s="92">
        <v>248710</v>
      </c>
      <c r="H125" s="33">
        <v>874496</v>
      </c>
      <c r="I125" s="33">
        <v>972738</v>
      </c>
      <c r="J125" s="33">
        <v>25099509</v>
      </c>
      <c r="K125" s="33"/>
      <c r="L125" s="33"/>
      <c r="M125" s="33"/>
      <c r="N125" s="33"/>
      <c r="O125" s="33"/>
      <c r="P125" s="33"/>
      <c r="Q125" s="33"/>
      <c r="R125" s="33"/>
      <c r="S125" s="33">
        <f t="shared" si="76"/>
        <v>27195453</v>
      </c>
      <c r="T125" s="33">
        <v>232822442</v>
      </c>
      <c r="U125" s="51">
        <f t="shared" si="71"/>
        <v>0.11680769588354374</v>
      </c>
      <c r="V125" s="163">
        <f t="shared" si="75"/>
        <v>205626989</v>
      </c>
      <c r="AA125" s="276"/>
    </row>
    <row r="126" spans="1:27" ht="14.45" customHeight="1" x14ac:dyDescent="0.2">
      <c r="A126" s="1" t="s">
        <v>59</v>
      </c>
      <c r="B126" s="2" t="s">
        <v>59</v>
      </c>
      <c r="C126" s="2" t="s">
        <v>76</v>
      </c>
      <c r="D126" s="166" t="s">
        <v>59</v>
      </c>
      <c r="E126" s="166"/>
      <c r="F126" s="166" t="s">
        <v>131</v>
      </c>
      <c r="G126" s="92">
        <v>2364168</v>
      </c>
      <c r="H126" s="33">
        <v>3367401</v>
      </c>
      <c r="I126" s="33">
        <v>4266532</v>
      </c>
      <c r="J126" s="33">
        <v>7617765</v>
      </c>
      <c r="K126" s="33"/>
      <c r="L126" s="33"/>
      <c r="M126" s="33"/>
      <c r="N126" s="33"/>
      <c r="O126" s="33"/>
      <c r="P126" s="33"/>
      <c r="Q126" s="33"/>
      <c r="R126" s="33"/>
      <c r="S126" s="33">
        <f t="shared" si="76"/>
        <v>17615866</v>
      </c>
      <c r="T126" s="33">
        <v>125267356</v>
      </c>
      <c r="U126" s="51">
        <f t="shared" si="71"/>
        <v>0.14062615004023873</v>
      </c>
      <c r="V126" s="163">
        <f t="shared" si="75"/>
        <v>107651490</v>
      </c>
      <c r="AA126" s="276"/>
    </row>
    <row r="127" spans="1:27" ht="14.45" customHeight="1" x14ac:dyDescent="0.2">
      <c r="A127" s="1" t="s">
        <v>59</v>
      </c>
      <c r="B127" s="2" t="s">
        <v>59</v>
      </c>
      <c r="C127" s="2" t="s">
        <v>65</v>
      </c>
      <c r="D127" s="166" t="s">
        <v>59</v>
      </c>
      <c r="E127" s="166"/>
      <c r="F127" s="166" t="s">
        <v>132</v>
      </c>
      <c r="G127" s="33">
        <v>0</v>
      </c>
      <c r="H127" s="33">
        <v>172829585</v>
      </c>
      <c r="I127" s="33">
        <v>192468894</v>
      </c>
      <c r="J127" s="33">
        <v>391906658</v>
      </c>
      <c r="K127" s="33"/>
      <c r="L127" s="33"/>
      <c r="M127" s="33"/>
      <c r="N127" s="33"/>
      <c r="O127" s="33"/>
      <c r="P127" s="33"/>
      <c r="Q127" s="33"/>
      <c r="R127" s="33"/>
      <c r="S127" s="33">
        <f t="shared" si="76"/>
        <v>757205137</v>
      </c>
      <c r="T127" s="33">
        <v>2139163523</v>
      </c>
      <c r="U127" s="51">
        <f t="shared" si="71"/>
        <v>0.35397253592753974</v>
      </c>
      <c r="V127" s="163">
        <f t="shared" si="75"/>
        <v>1381958386</v>
      </c>
      <c r="AA127" s="276"/>
    </row>
    <row r="128" spans="1:27" ht="13.9" customHeight="1" x14ac:dyDescent="0.2">
      <c r="A128" s="1" t="s">
        <v>59</v>
      </c>
      <c r="B128" s="2" t="s">
        <v>59</v>
      </c>
      <c r="C128" s="2" t="s">
        <v>70</v>
      </c>
      <c r="D128" s="166" t="s">
        <v>59</v>
      </c>
      <c r="E128" s="166"/>
      <c r="F128" s="166" t="s">
        <v>123</v>
      </c>
      <c r="G128" s="168">
        <v>0</v>
      </c>
      <c r="H128" s="168">
        <v>0</v>
      </c>
      <c r="I128" s="168">
        <v>0</v>
      </c>
      <c r="J128" s="168">
        <v>0</v>
      </c>
      <c r="K128" s="168"/>
      <c r="L128" s="168"/>
      <c r="M128" s="168"/>
      <c r="N128" s="168"/>
      <c r="O128" s="168"/>
      <c r="P128" s="168"/>
      <c r="Q128" s="168"/>
      <c r="R128" s="168"/>
      <c r="S128" s="168">
        <f t="shared" si="76"/>
        <v>0</v>
      </c>
      <c r="T128" s="33">
        <v>0</v>
      </c>
      <c r="U128" s="51" t="s">
        <v>31</v>
      </c>
      <c r="V128" s="163">
        <f t="shared" si="75"/>
        <v>0</v>
      </c>
      <c r="AA128" s="276"/>
    </row>
    <row r="129" spans="1:27" ht="13.9" customHeight="1" x14ac:dyDescent="0.2">
      <c r="A129" s="1">
        <v>22</v>
      </c>
      <c r="B129" s="2" t="s">
        <v>50</v>
      </c>
      <c r="C129" s="2" t="s">
        <v>59</v>
      </c>
      <c r="D129" s="166" t="s">
        <v>59</v>
      </c>
      <c r="E129" s="166"/>
      <c r="F129" s="3" t="s">
        <v>133</v>
      </c>
      <c r="G129" s="9">
        <f t="shared" ref="G129:T129" si="77">SUM(G130:G136)</f>
        <v>27993033</v>
      </c>
      <c r="H129" s="9">
        <f t="shared" ref="H129:I129" si="78">SUM(H130:H136)</f>
        <v>269681370</v>
      </c>
      <c r="I129" s="9">
        <f t="shared" si="78"/>
        <v>216739722</v>
      </c>
      <c r="J129" s="9">
        <f t="shared" ref="J129:R129" si="79">SUM(J130:J136)</f>
        <v>228804607</v>
      </c>
      <c r="K129" s="9">
        <f t="shared" si="79"/>
        <v>0</v>
      </c>
      <c r="L129" s="9">
        <f t="shared" si="79"/>
        <v>0</v>
      </c>
      <c r="M129" s="9">
        <f t="shared" si="79"/>
        <v>0</v>
      </c>
      <c r="N129" s="9">
        <f t="shared" si="79"/>
        <v>0</v>
      </c>
      <c r="O129" s="9">
        <f t="shared" si="79"/>
        <v>0</v>
      </c>
      <c r="P129" s="9">
        <f t="shared" si="79"/>
        <v>0</v>
      </c>
      <c r="Q129" s="9">
        <f t="shared" si="79"/>
        <v>0</v>
      </c>
      <c r="R129" s="9">
        <f t="shared" si="79"/>
        <v>0</v>
      </c>
      <c r="S129" s="9">
        <f t="shared" si="77"/>
        <v>743218732</v>
      </c>
      <c r="T129" s="135">
        <f t="shared" si="77"/>
        <v>3504701326</v>
      </c>
      <c r="U129" s="50">
        <f t="shared" ref="U129:U134" si="80">+S129/T129</f>
        <v>0.21206335800610246</v>
      </c>
      <c r="V129" s="48">
        <f>SUM(V130:V136)</f>
        <v>2761482594</v>
      </c>
      <c r="AA129" s="276"/>
    </row>
    <row r="130" spans="1:27" x14ac:dyDescent="0.2">
      <c r="A130" s="59" t="s">
        <v>59</v>
      </c>
      <c r="B130" s="57" t="s">
        <v>59</v>
      </c>
      <c r="C130" s="57" t="s">
        <v>28</v>
      </c>
      <c r="D130" s="174" t="s">
        <v>59</v>
      </c>
      <c r="E130" s="174"/>
      <c r="F130" s="174" t="s">
        <v>134</v>
      </c>
      <c r="G130" s="92">
        <v>26836072</v>
      </c>
      <c r="H130" s="168">
        <v>229544671</v>
      </c>
      <c r="I130" s="168">
        <v>204909232</v>
      </c>
      <c r="J130" s="168">
        <v>223138439</v>
      </c>
      <c r="K130" s="168"/>
      <c r="L130" s="168"/>
      <c r="M130" s="168"/>
      <c r="N130" s="168"/>
      <c r="O130" s="168"/>
      <c r="P130" s="168"/>
      <c r="Q130" s="168"/>
      <c r="R130" s="168"/>
      <c r="S130" s="168">
        <f t="shared" ref="S130:S136" si="81">SUM(G130:R130)</f>
        <v>684428414</v>
      </c>
      <c r="T130" s="33">
        <v>2650241280</v>
      </c>
      <c r="U130" s="51">
        <f t="shared" si="80"/>
        <v>0.25825135966488305</v>
      </c>
      <c r="V130" s="167">
        <f t="shared" ref="V130:V136" si="82">+T130-S130</f>
        <v>1965812866</v>
      </c>
      <c r="AA130" s="276"/>
    </row>
    <row r="131" spans="1:27" x14ac:dyDescent="0.2">
      <c r="A131" s="59" t="s">
        <v>59</v>
      </c>
      <c r="B131" s="57" t="s">
        <v>59</v>
      </c>
      <c r="C131" s="57" t="s">
        <v>32</v>
      </c>
      <c r="D131" s="174" t="s">
        <v>59</v>
      </c>
      <c r="E131" s="174"/>
      <c r="F131" s="174" t="s">
        <v>135</v>
      </c>
      <c r="G131" s="92">
        <v>1108171</v>
      </c>
      <c r="H131" s="168">
        <v>5982590</v>
      </c>
      <c r="I131" s="168">
        <v>9296798</v>
      </c>
      <c r="J131" s="168">
        <v>3892367</v>
      </c>
      <c r="K131" s="168"/>
      <c r="L131" s="168"/>
      <c r="M131" s="168"/>
      <c r="N131" s="168"/>
      <c r="O131" s="168"/>
      <c r="P131" s="168"/>
      <c r="Q131" s="168"/>
      <c r="R131" s="168"/>
      <c r="S131" s="168">
        <f t="shared" si="81"/>
        <v>20279926</v>
      </c>
      <c r="T131" s="33">
        <v>384039680</v>
      </c>
      <c r="U131" s="51">
        <f t="shared" si="80"/>
        <v>5.2806850583773011E-2</v>
      </c>
      <c r="V131" s="167">
        <f t="shared" si="82"/>
        <v>363759754</v>
      </c>
      <c r="AA131" s="276"/>
    </row>
    <row r="132" spans="1:27" x14ac:dyDescent="0.2">
      <c r="A132" s="1" t="s">
        <v>59</v>
      </c>
      <c r="B132" s="2" t="s">
        <v>59</v>
      </c>
      <c r="C132" s="2" t="s">
        <v>63</v>
      </c>
      <c r="D132" s="166" t="s">
        <v>59</v>
      </c>
      <c r="E132" s="166"/>
      <c r="F132" s="166" t="s">
        <v>136</v>
      </c>
      <c r="G132" s="92">
        <v>48790</v>
      </c>
      <c r="H132" s="168">
        <v>2848404</v>
      </c>
      <c r="I132" s="168">
        <v>879212</v>
      </c>
      <c r="J132" s="168">
        <v>1708801</v>
      </c>
      <c r="K132" s="168"/>
      <c r="L132" s="168"/>
      <c r="M132" s="168"/>
      <c r="N132" s="168"/>
      <c r="O132" s="168"/>
      <c r="P132" s="168"/>
      <c r="Q132" s="168"/>
      <c r="R132" s="168"/>
      <c r="S132" s="168">
        <f t="shared" si="81"/>
        <v>5485207</v>
      </c>
      <c r="T132" s="33">
        <v>138131460</v>
      </c>
      <c r="U132" s="51">
        <f t="shared" si="80"/>
        <v>3.9710048673922652E-2</v>
      </c>
      <c r="V132" s="163">
        <f t="shared" si="82"/>
        <v>132646253</v>
      </c>
      <c r="AA132" s="276"/>
    </row>
    <row r="133" spans="1:27" x14ac:dyDescent="0.2">
      <c r="A133" s="1" t="s">
        <v>59</v>
      </c>
      <c r="B133" s="2" t="s">
        <v>59</v>
      </c>
      <c r="C133" s="2" t="s">
        <v>64</v>
      </c>
      <c r="D133" s="166" t="s">
        <v>59</v>
      </c>
      <c r="E133" s="166"/>
      <c r="F133" s="166" t="s">
        <v>137</v>
      </c>
      <c r="G133" s="168">
        <v>0</v>
      </c>
      <c r="H133" s="168">
        <v>30892255</v>
      </c>
      <c r="I133" s="168">
        <v>238000</v>
      </c>
      <c r="J133" s="168">
        <v>444500</v>
      </c>
      <c r="K133" s="168"/>
      <c r="L133" s="168"/>
      <c r="M133" s="168"/>
      <c r="N133" s="168"/>
      <c r="O133" s="168"/>
      <c r="P133" s="168"/>
      <c r="Q133" s="168"/>
      <c r="R133" s="168"/>
      <c r="S133" s="168">
        <f t="shared" si="81"/>
        <v>31574755</v>
      </c>
      <c r="T133" s="33">
        <v>76841506</v>
      </c>
      <c r="U133" s="51">
        <f t="shared" si="80"/>
        <v>0.41090755040641708</v>
      </c>
      <c r="V133" s="163">
        <f t="shared" si="82"/>
        <v>45266751</v>
      </c>
      <c r="AA133" s="276"/>
    </row>
    <row r="134" spans="1:27" x14ac:dyDescent="0.2">
      <c r="A134" s="59" t="s">
        <v>59</v>
      </c>
      <c r="B134" s="57" t="s">
        <v>59</v>
      </c>
      <c r="C134" s="57" t="s">
        <v>75</v>
      </c>
      <c r="D134" s="174" t="s">
        <v>59</v>
      </c>
      <c r="E134" s="174"/>
      <c r="F134" s="174" t="s">
        <v>138</v>
      </c>
      <c r="G134" s="168">
        <v>0</v>
      </c>
      <c r="H134" s="168">
        <v>0</v>
      </c>
      <c r="I134" s="168">
        <v>0</v>
      </c>
      <c r="J134" s="168">
        <v>0</v>
      </c>
      <c r="K134" s="168"/>
      <c r="L134" s="168"/>
      <c r="M134" s="168"/>
      <c r="N134" s="168"/>
      <c r="O134" s="168"/>
      <c r="P134" s="168"/>
      <c r="Q134" s="168"/>
      <c r="R134" s="168"/>
      <c r="S134" s="168">
        <f t="shared" si="81"/>
        <v>0</v>
      </c>
      <c r="T134" s="33">
        <v>500000</v>
      </c>
      <c r="U134" s="51">
        <f t="shared" si="80"/>
        <v>0</v>
      </c>
      <c r="V134" s="167">
        <f t="shared" si="82"/>
        <v>500000</v>
      </c>
      <c r="AA134" s="276"/>
    </row>
    <row r="135" spans="1:27" x14ac:dyDescent="0.2">
      <c r="A135" s="1" t="s">
        <v>59</v>
      </c>
      <c r="B135" s="2" t="s">
        <v>59</v>
      </c>
      <c r="C135" s="2" t="s">
        <v>76</v>
      </c>
      <c r="D135" s="166" t="s">
        <v>59</v>
      </c>
      <c r="E135" s="166"/>
      <c r="F135" s="166" t="s">
        <v>139</v>
      </c>
      <c r="G135" s="168">
        <v>0</v>
      </c>
      <c r="H135" s="168">
        <v>413450</v>
      </c>
      <c r="I135" s="168">
        <v>416480</v>
      </c>
      <c r="J135" s="168">
        <v>-394500</v>
      </c>
      <c r="K135" s="168"/>
      <c r="L135" s="168"/>
      <c r="M135" s="168"/>
      <c r="N135" s="168"/>
      <c r="O135" s="168"/>
      <c r="P135" s="168"/>
      <c r="Q135" s="168"/>
      <c r="R135" s="168"/>
      <c r="S135" s="168">
        <f t="shared" si="81"/>
        <v>435430</v>
      </c>
      <c r="T135" s="33">
        <v>4713450</v>
      </c>
      <c r="U135" s="51">
        <f t="shared" ref="U135:U136" si="83">+S135/T135</f>
        <v>9.2380315904486102E-2</v>
      </c>
      <c r="V135" s="163">
        <f t="shared" si="82"/>
        <v>4278020</v>
      </c>
      <c r="AA135" s="276"/>
    </row>
    <row r="136" spans="1:27" ht="14.45" customHeight="1" x14ac:dyDescent="0.2">
      <c r="A136" s="1" t="s">
        <v>59</v>
      </c>
      <c r="B136" s="2" t="s">
        <v>59</v>
      </c>
      <c r="C136" s="2" t="s">
        <v>70</v>
      </c>
      <c r="D136" s="166" t="s">
        <v>59</v>
      </c>
      <c r="E136" s="166"/>
      <c r="F136" s="166" t="s">
        <v>123</v>
      </c>
      <c r="G136" s="168">
        <v>0</v>
      </c>
      <c r="H136" s="168">
        <v>0</v>
      </c>
      <c r="I136" s="168">
        <v>1000000</v>
      </c>
      <c r="J136" s="168">
        <v>15000</v>
      </c>
      <c r="K136" s="168"/>
      <c r="L136" s="168"/>
      <c r="M136" s="168"/>
      <c r="N136" s="168"/>
      <c r="O136" s="168"/>
      <c r="P136" s="168"/>
      <c r="Q136" s="168"/>
      <c r="R136" s="168"/>
      <c r="S136" s="168">
        <f t="shared" si="81"/>
        <v>1015000</v>
      </c>
      <c r="T136" s="33">
        <v>250233950</v>
      </c>
      <c r="U136" s="51">
        <f t="shared" si="83"/>
        <v>4.0562042041057981E-3</v>
      </c>
      <c r="V136" s="163">
        <f t="shared" si="82"/>
        <v>249218950</v>
      </c>
      <c r="AA136" s="276"/>
    </row>
    <row r="137" spans="1:27" x14ac:dyDescent="0.2">
      <c r="A137" s="1">
        <v>22</v>
      </c>
      <c r="B137" s="2" t="s">
        <v>140</v>
      </c>
      <c r="C137" s="2" t="s">
        <v>59</v>
      </c>
      <c r="D137" s="166" t="s">
        <v>59</v>
      </c>
      <c r="E137" s="166"/>
      <c r="F137" s="3" t="s">
        <v>141</v>
      </c>
      <c r="G137" s="9">
        <f t="shared" ref="G137:T137" si="84">SUM(G138:G141)</f>
        <v>1840519</v>
      </c>
      <c r="H137" s="9">
        <f t="shared" ref="H137:I137" si="85">SUM(H138:H141)</f>
        <v>4807249</v>
      </c>
      <c r="I137" s="9">
        <f t="shared" si="85"/>
        <v>2143912</v>
      </c>
      <c r="J137" s="9">
        <f t="shared" ref="J137:R137" si="86">SUM(J138:J141)</f>
        <v>8698364</v>
      </c>
      <c r="K137" s="9">
        <f t="shared" si="86"/>
        <v>0</v>
      </c>
      <c r="L137" s="9">
        <f t="shared" si="86"/>
        <v>0</v>
      </c>
      <c r="M137" s="9">
        <f t="shared" si="86"/>
        <v>0</v>
      </c>
      <c r="N137" s="9">
        <f t="shared" si="86"/>
        <v>0</v>
      </c>
      <c r="O137" s="9">
        <f t="shared" si="86"/>
        <v>0</v>
      </c>
      <c r="P137" s="9">
        <f t="shared" si="86"/>
        <v>0</v>
      </c>
      <c r="Q137" s="9">
        <f t="shared" si="86"/>
        <v>0</v>
      </c>
      <c r="R137" s="9">
        <f t="shared" si="86"/>
        <v>0</v>
      </c>
      <c r="S137" s="9">
        <f t="shared" si="84"/>
        <v>17490044</v>
      </c>
      <c r="T137" s="135">
        <f t="shared" si="84"/>
        <v>167366000</v>
      </c>
      <c r="U137" s="50">
        <f t="shared" ref="U137:U177" si="87">+S137/T137</f>
        <v>0.10450177455397154</v>
      </c>
      <c r="V137" s="48">
        <f>SUM(V138:V141)</f>
        <v>149875956</v>
      </c>
      <c r="AA137" s="276"/>
    </row>
    <row r="138" spans="1:27" ht="14.45" customHeight="1" x14ac:dyDescent="0.2">
      <c r="A138" s="1" t="s">
        <v>59</v>
      </c>
      <c r="B138" s="2" t="s">
        <v>59</v>
      </c>
      <c r="C138" s="2" t="s">
        <v>28</v>
      </c>
      <c r="D138" s="166" t="s">
        <v>59</v>
      </c>
      <c r="E138" s="166"/>
      <c r="F138" s="166" t="s">
        <v>142</v>
      </c>
      <c r="G138" s="92">
        <v>1483519</v>
      </c>
      <c r="H138" s="33">
        <v>4690629</v>
      </c>
      <c r="I138" s="33">
        <v>2143912</v>
      </c>
      <c r="J138" s="33">
        <v>8698364</v>
      </c>
      <c r="K138" s="33"/>
      <c r="L138" s="33"/>
      <c r="M138" s="33"/>
      <c r="N138" s="33"/>
      <c r="O138" s="33"/>
      <c r="P138" s="33"/>
      <c r="Q138" s="33"/>
      <c r="R138" s="33"/>
      <c r="S138" s="33">
        <f>SUM(G138:R138)</f>
        <v>17016424</v>
      </c>
      <c r="T138" s="33">
        <v>164392380</v>
      </c>
      <c r="U138" s="51">
        <f t="shared" si="87"/>
        <v>0.10351102648431758</v>
      </c>
      <c r="V138" s="163">
        <f>+T138-S138</f>
        <v>147375956</v>
      </c>
      <c r="AA138" s="276"/>
    </row>
    <row r="139" spans="1:27" x14ac:dyDescent="0.2">
      <c r="A139" s="1" t="s">
        <v>59</v>
      </c>
      <c r="B139" s="2" t="s">
        <v>59</v>
      </c>
      <c r="C139" s="2" t="s">
        <v>32</v>
      </c>
      <c r="D139" s="166" t="s">
        <v>59</v>
      </c>
      <c r="E139" s="166"/>
      <c r="F139" s="166" t="s">
        <v>143</v>
      </c>
      <c r="G139" s="168">
        <v>0</v>
      </c>
      <c r="H139" s="168">
        <v>0</v>
      </c>
      <c r="I139" s="168">
        <v>0</v>
      </c>
      <c r="J139" s="168">
        <v>0</v>
      </c>
      <c r="K139" s="168"/>
      <c r="L139" s="168"/>
      <c r="M139" s="168"/>
      <c r="N139" s="168"/>
      <c r="O139" s="168"/>
      <c r="P139" s="168"/>
      <c r="Q139" s="168"/>
      <c r="R139" s="168"/>
      <c r="S139" s="168">
        <f>SUM(G139:R139)</f>
        <v>0</v>
      </c>
      <c r="T139" s="33">
        <v>2000000</v>
      </c>
      <c r="U139" s="51">
        <f t="shared" si="87"/>
        <v>0</v>
      </c>
      <c r="V139" s="163">
        <f t="shared" ref="V139:V141" si="88">+T139-S139</f>
        <v>2000000</v>
      </c>
      <c r="AA139" s="276"/>
    </row>
    <row r="140" spans="1:27" x14ac:dyDescent="0.2">
      <c r="A140" s="1" t="s">
        <v>59</v>
      </c>
      <c r="B140" s="2" t="s">
        <v>59</v>
      </c>
      <c r="C140" s="2" t="s">
        <v>63</v>
      </c>
      <c r="D140" s="166" t="s">
        <v>59</v>
      </c>
      <c r="E140" s="166"/>
      <c r="F140" s="166" t="s">
        <v>144</v>
      </c>
      <c r="G140" s="168">
        <v>0</v>
      </c>
      <c r="H140" s="168">
        <v>0</v>
      </c>
      <c r="I140" s="168">
        <v>0</v>
      </c>
      <c r="J140" s="168">
        <v>0</v>
      </c>
      <c r="K140" s="168"/>
      <c r="L140" s="168"/>
      <c r="M140" s="168"/>
      <c r="N140" s="168"/>
      <c r="O140" s="168"/>
      <c r="P140" s="168"/>
      <c r="Q140" s="168"/>
      <c r="R140" s="168"/>
      <c r="S140" s="168">
        <f>SUM(G140:R140)</f>
        <v>0</v>
      </c>
      <c r="T140" s="33">
        <v>0</v>
      </c>
      <c r="U140" s="49" t="s">
        <v>31</v>
      </c>
      <c r="V140" s="163">
        <f t="shared" si="88"/>
        <v>0</v>
      </c>
      <c r="AA140" s="276"/>
    </row>
    <row r="141" spans="1:27" ht="14.45" customHeight="1" x14ac:dyDescent="0.2">
      <c r="A141" s="1" t="s">
        <v>59</v>
      </c>
      <c r="B141" s="2" t="s">
        <v>59</v>
      </c>
      <c r="C141" s="2" t="s">
        <v>70</v>
      </c>
      <c r="D141" s="166" t="s">
        <v>59</v>
      </c>
      <c r="E141" s="166"/>
      <c r="F141" s="166" t="s">
        <v>123</v>
      </c>
      <c r="G141" s="33">
        <v>357000</v>
      </c>
      <c r="H141" s="33">
        <v>116620</v>
      </c>
      <c r="I141" s="33">
        <v>0</v>
      </c>
      <c r="J141" s="33">
        <v>0</v>
      </c>
      <c r="K141" s="33"/>
      <c r="L141" s="33"/>
      <c r="M141" s="33"/>
      <c r="N141" s="33"/>
      <c r="O141" s="33"/>
      <c r="P141" s="33"/>
      <c r="Q141" s="33"/>
      <c r="R141" s="33"/>
      <c r="S141" s="33">
        <f>SUM(G141:R141)</f>
        <v>473620</v>
      </c>
      <c r="T141" s="33">
        <v>973620</v>
      </c>
      <c r="U141" s="51">
        <f t="shared" si="87"/>
        <v>0.48645262011873214</v>
      </c>
      <c r="V141" s="163">
        <f t="shared" si="88"/>
        <v>500000</v>
      </c>
      <c r="AA141" s="276"/>
    </row>
    <row r="142" spans="1:27" ht="13.9" customHeight="1" x14ac:dyDescent="0.2">
      <c r="A142" s="1">
        <v>22</v>
      </c>
      <c r="B142" s="2" t="s">
        <v>24</v>
      </c>
      <c r="C142" s="2" t="s">
        <v>59</v>
      </c>
      <c r="D142" s="166" t="s">
        <v>59</v>
      </c>
      <c r="E142" s="166"/>
      <c r="F142" s="3" t="s">
        <v>145</v>
      </c>
      <c r="G142" s="9">
        <f t="shared" ref="G142:T142" si="89">SUM(G143:G149)</f>
        <v>608654940</v>
      </c>
      <c r="H142" s="9">
        <f t="shared" ref="H142:I142" si="90">SUM(H143:H149)</f>
        <v>1363205219</v>
      </c>
      <c r="I142" s="9">
        <f t="shared" si="90"/>
        <v>1523616560</v>
      </c>
      <c r="J142" s="9">
        <f t="shared" ref="J142:R142" si="91">SUM(J143:J149)</f>
        <v>1194429287</v>
      </c>
      <c r="K142" s="9">
        <f t="shared" si="91"/>
        <v>0</v>
      </c>
      <c r="L142" s="9">
        <f t="shared" si="91"/>
        <v>0</v>
      </c>
      <c r="M142" s="9">
        <f t="shared" si="91"/>
        <v>0</v>
      </c>
      <c r="N142" s="9">
        <f t="shared" si="91"/>
        <v>0</v>
      </c>
      <c r="O142" s="9">
        <f t="shared" si="91"/>
        <v>0</v>
      </c>
      <c r="P142" s="9">
        <f t="shared" si="91"/>
        <v>0</v>
      </c>
      <c r="Q142" s="9">
        <f t="shared" si="91"/>
        <v>0</v>
      </c>
      <c r="R142" s="9">
        <f t="shared" si="91"/>
        <v>0</v>
      </c>
      <c r="S142" s="9">
        <f t="shared" si="89"/>
        <v>4689906006</v>
      </c>
      <c r="T142" s="135">
        <f t="shared" si="89"/>
        <v>18226784178</v>
      </c>
      <c r="U142" s="50">
        <f t="shared" si="87"/>
        <v>0.25730847308000643</v>
      </c>
      <c r="V142" s="48">
        <f>SUM(V143:V149)</f>
        <v>13536878172</v>
      </c>
      <c r="AA142" s="276"/>
    </row>
    <row r="143" spans="1:27" ht="14.45" customHeight="1" x14ac:dyDescent="0.2">
      <c r="A143" s="1" t="s">
        <v>59</v>
      </c>
      <c r="B143" s="2" t="s">
        <v>59</v>
      </c>
      <c r="C143" s="2" t="s">
        <v>28</v>
      </c>
      <c r="D143" s="166" t="s">
        <v>59</v>
      </c>
      <c r="E143" s="166"/>
      <c r="F143" s="166" t="s">
        <v>146</v>
      </c>
      <c r="G143" s="92">
        <v>201862874</v>
      </c>
      <c r="H143" s="33">
        <v>376752932</v>
      </c>
      <c r="I143" s="33">
        <v>348597917</v>
      </c>
      <c r="J143" s="33">
        <v>335360272</v>
      </c>
      <c r="K143" s="33"/>
      <c r="L143" s="33"/>
      <c r="M143" s="33"/>
      <c r="N143" s="33"/>
      <c r="O143" s="33"/>
      <c r="P143" s="33"/>
      <c r="Q143" s="33"/>
      <c r="R143" s="33"/>
      <c r="S143" s="33">
        <f t="shared" ref="S143:S149" si="92">SUM(G143:R143)</f>
        <v>1262573995</v>
      </c>
      <c r="T143" s="33">
        <v>4972866686</v>
      </c>
      <c r="U143" s="51">
        <f t="shared" si="87"/>
        <v>0.25389258846501883</v>
      </c>
      <c r="V143" s="163">
        <f t="shared" ref="V143:V149" si="93">+T143-S143</f>
        <v>3710292691</v>
      </c>
      <c r="AA143" s="276"/>
    </row>
    <row r="144" spans="1:27" ht="14.45" customHeight="1" x14ac:dyDescent="0.2">
      <c r="A144" s="1" t="s">
        <v>59</v>
      </c>
      <c r="B144" s="2" t="s">
        <v>59</v>
      </c>
      <c r="C144" s="2" t="s">
        <v>32</v>
      </c>
      <c r="D144" s="166" t="s">
        <v>59</v>
      </c>
      <c r="E144" s="166"/>
      <c r="F144" s="166" t="s">
        <v>147</v>
      </c>
      <c r="G144" s="92">
        <v>303601547</v>
      </c>
      <c r="H144" s="33">
        <v>658015434</v>
      </c>
      <c r="I144" s="33">
        <v>750887605</v>
      </c>
      <c r="J144" s="33">
        <v>474040674</v>
      </c>
      <c r="K144" s="33"/>
      <c r="L144" s="33"/>
      <c r="M144" s="33"/>
      <c r="N144" s="33"/>
      <c r="O144" s="33"/>
      <c r="P144" s="33"/>
      <c r="Q144" s="33"/>
      <c r="R144" s="33"/>
      <c r="S144" s="33">
        <f t="shared" si="92"/>
        <v>2186545260</v>
      </c>
      <c r="T144" s="33">
        <v>8028342446</v>
      </c>
      <c r="U144" s="51">
        <f t="shared" si="87"/>
        <v>0.27235326279454025</v>
      </c>
      <c r="V144" s="163">
        <f t="shared" si="93"/>
        <v>5841797186</v>
      </c>
      <c r="AA144" s="276"/>
    </row>
    <row r="145" spans="1:27" x14ac:dyDescent="0.2">
      <c r="A145" s="1" t="s">
        <v>59</v>
      </c>
      <c r="B145" s="2" t="s">
        <v>59</v>
      </c>
      <c r="C145" s="2" t="s">
        <v>63</v>
      </c>
      <c r="D145" s="166" t="s">
        <v>59</v>
      </c>
      <c r="E145" s="166"/>
      <c r="F145" s="166" t="s">
        <v>148</v>
      </c>
      <c r="G145" s="92">
        <v>3780467</v>
      </c>
      <c r="H145" s="33">
        <v>6054527</v>
      </c>
      <c r="I145" s="33">
        <v>8574654</v>
      </c>
      <c r="J145" s="33">
        <v>5546934</v>
      </c>
      <c r="K145" s="33"/>
      <c r="L145" s="33"/>
      <c r="M145" s="33"/>
      <c r="N145" s="33"/>
      <c r="O145" s="33"/>
      <c r="P145" s="33"/>
      <c r="Q145" s="33"/>
      <c r="R145" s="33"/>
      <c r="S145" s="33">
        <f t="shared" si="92"/>
        <v>23956582</v>
      </c>
      <c r="T145" s="33">
        <v>89150836</v>
      </c>
      <c r="U145" s="51">
        <f t="shared" si="87"/>
        <v>0.26871965620154142</v>
      </c>
      <c r="V145" s="163">
        <f t="shared" si="93"/>
        <v>65194254</v>
      </c>
      <c r="AA145" s="276"/>
    </row>
    <row r="146" spans="1:27" ht="14.45" customHeight="1" x14ac:dyDescent="0.2">
      <c r="A146" s="1" t="s">
        <v>59</v>
      </c>
      <c r="B146" s="2" t="s">
        <v>59</v>
      </c>
      <c r="C146" s="2" t="s">
        <v>76</v>
      </c>
      <c r="D146" s="166" t="s">
        <v>59</v>
      </c>
      <c r="E146" s="166"/>
      <c r="F146" s="166" t="s">
        <v>149</v>
      </c>
      <c r="G146" s="92">
        <v>55428373</v>
      </c>
      <c r="H146" s="33">
        <v>78522032</v>
      </c>
      <c r="I146" s="33">
        <v>158770256</v>
      </c>
      <c r="J146" s="33">
        <v>120064231</v>
      </c>
      <c r="K146" s="33"/>
      <c r="L146" s="33"/>
      <c r="M146" s="33"/>
      <c r="N146" s="33"/>
      <c r="O146" s="33"/>
      <c r="P146" s="33"/>
      <c r="Q146" s="33"/>
      <c r="R146" s="33"/>
      <c r="S146" s="33">
        <f>SUM(G146:R146)</f>
        <v>412784892</v>
      </c>
      <c r="T146" s="33">
        <v>1606505014</v>
      </c>
      <c r="U146" s="51">
        <f>+S146/T146</f>
        <v>0.2569459095382568</v>
      </c>
      <c r="V146" s="163">
        <f>+T146-S146</f>
        <v>1193720122</v>
      </c>
      <c r="AA146" s="276"/>
    </row>
    <row r="147" spans="1:27" ht="14.45" customHeight="1" x14ac:dyDescent="0.2">
      <c r="A147" s="1" t="s">
        <v>59</v>
      </c>
      <c r="B147" s="2" t="s">
        <v>59</v>
      </c>
      <c r="C147" s="2" t="s">
        <v>65</v>
      </c>
      <c r="D147" s="166" t="s">
        <v>59</v>
      </c>
      <c r="E147" s="166"/>
      <c r="F147" s="166" t="s">
        <v>150</v>
      </c>
      <c r="G147" s="92">
        <v>4749000</v>
      </c>
      <c r="H147" s="168">
        <v>10431437</v>
      </c>
      <c r="I147" s="168">
        <v>8955044</v>
      </c>
      <c r="J147" s="168">
        <v>9184700</v>
      </c>
      <c r="K147" s="168"/>
      <c r="L147" s="168"/>
      <c r="M147" s="168"/>
      <c r="N147" s="168"/>
      <c r="O147" s="168"/>
      <c r="P147" s="168"/>
      <c r="Q147" s="168"/>
      <c r="R147" s="168"/>
      <c r="S147" s="168">
        <f t="shared" si="92"/>
        <v>33320181</v>
      </c>
      <c r="T147" s="33">
        <v>176012516</v>
      </c>
      <c r="U147" s="51">
        <f t="shared" si="87"/>
        <v>0.18930574800714739</v>
      </c>
      <c r="V147" s="163">
        <f>+T147-S147</f>
        <v>142692335</v>
      </c>
      <c r="AA147" s="276"/>
    </row>
    <row r="148" spans="1:27" ht="14.45" customHeight="1" x14ac:dyDescent="0.2">
      <c r="A148" s="1" t="s">
        <v>59</v>
      </c>
      <c r="B148" s="2" t="s">
        <v>59</v>
      </c>
      <c r="C148" s="2" t="s">
        <v>81</v>
      </c>
      <c r="D148" s="166" t="s">
        <v>59</v>
      </c>
      <c r="E148" s="166"/>
      <c r="F148" s="166" t="s">
        <v>151</v>
      </c>
      <c r="G148" s="92">
        <v>971728</v>
      </c>
      <c r="H148" s="33">
        <v>1375155</v>
      </c>
      <c r="I148" s="33">
        <v>1384358</v>
      </c>
      <c r="J148" s="33">
        <v>2511707</v>
      </c>
      <c r="K148" s="33"/>
      <c r="L148" s="33"/>
      <c r="M148" s="33"/>
      <c r="N148" s="33"/>
      <c r="O148" s="33"/>
      <c r="P148" s="33"/>
      <c r="Q148" s="33"/>
      <c r="R148" s="33"/>
      <c r="S148" s="33">
        <f t="shared" si="92"/>
        <v>6242948</v>
      </c>
      <c r="T148" s="33">
        <v>21973281</v>
      </c>
      <c r="U148" s="51">
        <f t="shared" si="87"/>
        <v>0.28411542181615934</v>
      </c>
      <c r="V148" s="163">
        <f t="shared" si="93"/>
        <v>15730333</v>
      </c>
      <c r="AA148" s="276"/>
    </row>
    <row r="149" spans="1:27" ht="14.45" customHeight="1" x14ac:dyDescent="0.2">
      <c r="A149" s="1" t="s">
        <v>59</v>
      </c>
      <c r="B149" s="2" t="s">
        <v>59</v>
      </c>
      <c r="C149" s="2" t="s">
        <v>70</v>
      </c>
      <c r="D149" s="166" t="s">
        <v>59</v>
      </c>
      <c r="E149" s="166"/>
      <c r="F149" s="166" t="s">
        <v>38</v>
      </c>
      <c r="G149" s="92">
        <v>38260951</v>
      </c>
      <c r="H149" s="33">
        <v>232053702</v>
      </c>
      <c r="I149" s="33">
        <v>246446726</v>
      </c>
      <c r="J149" s="33">
        <v>247720769</v>
      </c>
      <c r="K149" s="33"/>
      <c r="L149" s="33"/>
      <c r="M149" s="33"/>
      <c r="N149" s="33"/>
      <c r="O149" s="33"/>
      <c r="P149" s="33"/>
      <c r="Q149" s="33"/>
      <c r="R149" s="33"/>
      <c r="S149" s="33">
        <f t="shared" si="92"/>
        <v>764482148</v>
      </c>
      <c r="T149" s="33">
        <v>3331933399</v>
      </c>
      <c r="U149" s="51">
        <f t="shared" si="87"/>
        <v>0.22944100510215509</v>
      </c>
      <c r="V149" s="163">
        <f t="shared" si="93"/>
        <v>2567451251</v>
      </c>
      <c r="AA149" s="276"/>
    </row>
    <row r="150" spans="1:27" ht="14.45" customHeight="1" x14ac:dyDescent="0.2">
      <c r="A150" s="1">
        <v>22</v>
      </c>
      <c r="B150" s="2" t="s">
        <v>39</v>
      </c>
      <c r="C150" s="2" t="s">
        <v>59</v>
      </c>
      <c r="D150" s="166" t="s">
        <v>59</v>
      </c>
      <c r="E150" s="166"/>
      <c r="F150" s="3" t="s">
        <v>152</v>
      </c>
      <c r="G150" s="9">
        <f t="shared" ref="G150:T150" si="94">SUM(G151:G157)</f>
        <v>576410728</v>
      </c>
      <c r="H150" s="9">
        <f t="shared" ref="H150:I150" si="95">SUM(H151:H157)</f>
        <v>1044314706</v>
      </c>
      <c r="I150" s="9">
        <f t="shared" si="95"/>
        <v>949182047</v>
      </c>
      <c r="J150" s="9">
        <f t="shared" ref="J150:R150" si="96">SUM(J151:J157)</f>
        <v>1225948035</v>
      </c>
      <c r="K150" s="9">
        <f t="shared" si="96"/>
        <v>0</v>
      </c>
      <c r="L150" s="9">
        <f t="shared" si="96"/>
        <v>0</v>
      </c>
      <c r="M150" s="9">
        <f t="shared" si="96"/>
        <v>0</v>
      </c>
      <c r="N150" s="9">
        <f t="shared" si="96"/>
        <v>0</v>
      </c>
      <c r="O150" s="9">
        <f t="shared" si="96"/>
        <v>0</v>
      </c>
      <c r="P150" s="9"/>
      <c r="Q150" s="9">
        <f t="shared" si="96"/>
        <v>0</v>
      </c>
      <c r="R150" s="9">
        <f t="shared" si="96"/>
        <v>0</v>
      </c>
      <c r="S150" s="9">
        <f t="shared" si="94"/>
        <v>3795855516</v>
      </c>
      <c r="T150" s="135">
        <f t="shared" si="94"/>
        <v>13275080713</v>
      </c>
      <c r="U150" s="50">
        <f t="shared" si="87"/>
        <v>0.28593841333731407</v>
      </c>
      <c r="V150" s="48">
        <f>SUM(V151:V157)</f>
        <v>9479225197</v>
      </c>
      <c r="AA150" s="276"/>
    </row>
    <row r="151" spans="1:27" ht="14.45" customHeight="1" x14ac:dyDescent="0.2">
      <c r="A151" s="1" t="s">
        <v>59</v>
      </c>
      <c r="B151" s="2" t="s">
        <v>59</v>
      </c>
      <c r="C151" s="2" t="s">
        <v>28</v>
      </c>
      <c r="D151" s="166" t="s">
        <v>59</v>
      </c>
      <c r="E151" s="166"/>
      <c r="F151" s="166" t="s">
        <v>153</v>
      </c>
      <c r="G151" s="33">
        <v>0</v>
      </c>
      <c r="H151" s="33">
        <v>0</v>
      </c>
      <c r="I151" s="33">
        <v>0</v>
      </c>
      <c r="J151" s="33">
        <v>0</v>
      </c>
      <c r="K151" s="33"/>
      <c r="L151" s="33"/>
      <c r="M151" s="33"/>
      <c r="N151" s="33"/>
      <c r="O151" s="33"/>
      <c r="P151" s="33"/>
      <c r="Q151" s="33"/>
      <c r="R151" s="33"/>
      <c r="S151" s="33">
        <f t="shared" ref="S151:S157" si="97">SUM(G151:R151)</f>
        <v>0</v>
      </c>
      <c r="T151" s="33">
        <v>0</v>
      </c>
      <c r="U151" s="51" t="s">
        <v>31</v>
      </c>
      <c r="V151" s="163">
        <f t="shared" ref="V151:V157" si="98">+T151-S151</f>
        <v>0</v>
      </c>
      <c r="AA151" s="276"/>
    </row>
    <row r="152" spans="1:27" ht="14.45" customHeight="1" x14ac:dyDescent="0.2">
      <c r="A152" s="1" t="s">
        <v>59</v>
      </c>
      <c r="B152" s="2" t="s">
        <v>59</v>
      </c>
      <c r="C152" s="2" t="s">
        <v>32</v>
      </c>
      <c r="D152" s="166" t="s">
        <v>59</v>
      </c>
      <c r="E152" s="166"/>
      <c r="F152" s="166" t="s">
        <v>154</v>
      </c>
      <c r="G152" s="92">
        <v>461940934</v>
      </c>
      <c r="H152" s="33">
        <v>430691890</v>
      </c>
      <c r="I152" s="33">
        <v>498831818</v>
      </c>
      <c r="J152" s="33">
        <v>385993182</v>
      </c>
      <c r="K152" s="33"/>
      <c r="L152" s="33"/>
      <c r="M152" s="33"/>
      <c r="N152" s="33"/>
      <c r="O152" s="33"/>
      <c r="P152" s="33"/>
      <c r="Q152" s="33"/>
      <c r="R152" s="33"/>
      <c r="S152" s="33">
        <f t="shared" si="97"/>
        <v>1777457824</v>
      </c>
      <c r="T152" s="33">
        <v>4726560227</v>
      </c>
      <c r="U152" s="51">
        <f t="shared" si="87"/>
        <v>0.37605737336138256</v>
      </c>
      <c r="V152" s="163">
        <f t="shared" si="98"/>
        <v>2949102403</v>
      </c>
      <c r="AA152" s="276"/>
    </row>
    <row r="153" spans="1:27" x14ac:dyDescent="0.2">
      <c r="A153" s="1" t="s">
        <v>59</v>
      </c>
      <c r="B153" s="2" t="s">
        <v>59</v>
      </c>
      <c r="C153" s="2" t="s">
        <v>63</v>
      </c>
      <c r="D153" s="166" t="s">
        <v>59</v>
      </c>
      <c r="E153" s="166"/>
      <c r="F153" s="166" t="s">
        <v>155</v>
      </c>
      <c r="G153" s="92">
        <v>98275836</v>
      </c>
      <c r="H153" s="33">
        <v>97301875</v>
      </c>
      <c r="I153" s="33">
        <v>123627219</v>
      </c>
      <c r="J153" s="33">
        <v>107582692</v>
      </c>
      <c r="K153" s="33"/>
      <c r="L153" s="33"/>
      <c r="M153" s="33"/>
      <c r="N153" s="33"/>
      <c r="O153" s="33"/>
      <c r="P153" s="33"/>
      <c r="Q153" s="33"/>
      <c r="R153" s="33"/>
      <c r="S153" s="33">
        <f t="shared" si="97"/>
        <v>426787622</v>
      </c>
      <c r="T153" s="33">
        <v>1493479142</v>
      </c>
      <c r="U153" s="51">
        <f t="shared" si="87"/>
        <v>0.28576738033881427</v>
      </c>
      <c r="V153" s="163">
        <f t="shared" si="98"/>
        <v>1066691520</v>
      </c>
      <c r="AA153" s="276"/>
    </row>
    <row r="154" spans="1:27" ht="13.9" customHeight="1" x14ac:dyDescent="0.2">
      <c r="A154" s="1" t="s">
        <v>59</v>
      </c>
      <c r="B154" s="2" t="s">
        <v>59</v>
      </c>
      <c r="C154" s="2" t="s">
        <v>64</v>
      </c>
      <c r="D154" s="166" t="s">
        <v>59</v>
      </c>
      <c r="E154" s="166"/>
      <c r="F154" s="166" t="s">
        <v>156</v>
      </c>
      <c r="G154" s="168">
        <v>719500</v>
      </c>
      <c r="H154" s="168">
        <v>0</v>
      </c>
      <c r="I154" s="168">
        <v>0</v>
      </c>
      <c r="J154" s="168">
        <v>690200</v>
      </c>
      <c r="K154" s="168"/>
      <c r="L154" s="168"/>
      <c r="M154" s="168"/>
      <c r="N154" s="168"/>
      <c r="O154" s="168"/>
      <c r="P154" s="168"/>
      <c r="Q154" s="168"/>
      <c r="R154" s="168"/>
      <c r="S154" s="168">
        <f t="shared" si="97"/>
        <v>1409700</v>
      </c>
      <c r="T154" s="33">
        <v>177739402</v>
      </c>
      <c r="U154" s="51">
        <f t="shared" si="87"/>
        <v>7.9312745746719683E-3</v>
      </c>
      <c r="V154" s="163">
        <f t="shared" si="98"/>
        <v>176329702</v>
      </c>
      <c r="AA154" s="276"/>
    </row>
    <row r="155" spans="1:27" x14ac:dyDescent="0.2">
      <c r="A155" s="1" t="s">
        <v>59</v>
      </c>
      <c r="B155" s="2" t="s">
        <v>59</v>
      </c>
      <c r="C155" s="2" t="s">
        <v>74</v>
      </c>
      <c r="D155" s="166" t="s">
        <v>59</v>
      </c>
      <c r="E155" s="166"/>
      <c r="F155" s="166" t="s">
        <v>157</v>
      </c>
      <c r="G155" s="92">
        <v>10629765</v>
      </c>
      <c r="H155" s="33">
        <v>766304</v>
      </c>
      <c r="I155" s="33">
        <v>14916720</v>
      </c>
      <c r="J155" s="33">
        <v>8122392</v>
      </c>
      <c r="K155" s="33"/>
      <c r="L155" s="33"/>
      <c r="M155" s="33"/>
      <c r="N155" s="33"/>
      <c r="O155" s="33"/>
      <c r="P155" s="33"/>
      <c r="Q155" s="33"/>
      <c r="R155" s="33"/>
      <c r="S155" s="33">
        <f t="shared" si="97"/>
        <v>34435181</v>
      </c>
      <c r="T155" s="33">
        <v>159235778</v>
      </c>
      <c r="U155" s="51">
        <f t="shared" si="87"/>
        <v>0.21625278836518763</v>
      </c>
      <c r="V155" s="163">
        <f t="shared" si="98"/>
        <v>124800597</v>
      </c>
      <c r="AA155" s="276"/>
    </row>
    <row r="156" spans="1:27" x14ac:dyDescent="0.2">
      <c r="A156" s="1" t="s">
        <v>59</v>
      </c>
      <c r="B156" s="2" t="s">
        <v>59</v>
      </c>
      <c r="C156" s="2" t="s">
        <v>75</v>
      </c>
      <c r="D156" s="166" t="s">
        <v>59</v>
      </c>
      <c r="E156" s="166"/>
      <c r="F156" s="166" t="s">
        <v>158</v>
      </c>
      <c r="G156" s="33">
        <v>0</v>
      </c>
      <c r="H156" s="33">
        <v>515448524</v>
      </c>
      <c r="I156" s="33">
        <v>311579377</v>
      </c>
      <c r="J156" s="33">
        <v>723453456</v>
      </c>
      <c r="K156" s="33"/>
      <c r="L156" s="33"/>
      <c r="M156" s="33"/>
      <c r="N156" s="33"/>
      <c r="O156" s="33"/>
      <c r="P156" s="33"/>
      <c r="Q156" s="33"/>
      <c r="R156" s="33"/>
      <c r="S156" s="33">
        <f t="shared" si="97"/>
        <v>1550481357</v>
      </c>
      <c r="T156" s="33">
        <v>6709431463</v>
      </c>
      <c r="U156" s="51">
        <f t="shared" si="87"/>
        <v>0.2310898271411406</v>
      </c>
      <c r="V156" s="163">
        <f t="shared" si="98"/>
        <v>5158950106</v>
      </c>
      <c r="AA156" s="276"/>
    </row>
    <row r="157" spans="1:27" ht="14.45" customHeight="1" x14ac:dyDescent="0.2">
      <c r="A157" s="1" t="s">
        <v>59</v>
      </c>
      <c r="B157" s="2" t="s">
        <v>59</v>
      </c>
      <c r="C157" s="2" t="s">
        <v>70</v>
      </c>
      <c r="D157" s="166" t="s">
        <v>59</v>
      </c>
      <c r="E157" s="166"/>
      <c r="F157" s="166" t="s">
        <v>123</v>
      </c>
      <c r="G157" s="33">
        <v>4844693</v>
      </c>
      <c r="H157" s="33">
        <v>106113</v>
      </c>
      <c r="I157" s="33">
        <v>226913</v>
      </c>
      <c r="J157" s="33">
        <v>106113</v>
      </c>
      <c r="K157" s="33"/>
      <c r="L157" s="33"/>
      <c r="M157" s="33"/>
      <c r="N157" s="33"/>
      <c r="O157" s="33"/>
      <c r="P157" s="33"/>
      <c r="Q157" s="33"/>
      <c r="R157" s="33"/>
      <c r="S157" s="33">
        <f t="shared" si="97"/>
        <v>5283832</v>
      </c>
      <c r="T157" s="33">
        <v>8634701</v>
      </c>
      <c r="U157" s="51">
        <f t="shared" si="87"/>
        <v>0.61192993248984529</v>
      </c>
      <c r="V157" s="163">
        <f t="shared" si="98"/>
        <v>3350869</v>
      </c>
      <c r="AA157" s="276"/>
    </row>
    <row r="158" spans="1:27" ht="13.9" customHeight="1" x14ac:dyDescent="0.2">
      <c r="A158" s="1">
        <v>22</v>
      </c>
      <c r="B158" s="2" t="s">
        <v>159</v>
      </c>
      <c r="C158" s="2" t="s">
        <v>59</v>
      </c>
      <c r="D158" s="166" t="s">
        <v>59</v>
      </c>
      <c r="E158" s="166"/>
      <c r="F158" s="3" t="s">
        <v>160</v>
      </c>
      <c r="G158" s="9">
        <f t="shared" ref="G158:T158" si="99">SUM(G159:G161)</f>
        <v>4067631</v>
      </c>
      <c r="H158" s="9">
        <f t="shared" ref="H158:I158" si="100">SUM(H159:H161)</f>
        <v>7627756</v>
      </c>
      <c r="I158" s="9">
        <f t="shared" si="100"/>
        <v>4918093</v>
      </c>
      <c r="J158" s="9">
        <f t="shared" ref="J158:R158" si="101">SUM(J159:J161)</f>
        <v>5773656</v>
      </c>
      <c r="K158" s="9">
        <f t="shared" si="101"/>
        <v>0</v>
      </c>
      <c r="L158" s="9">
        <f t="shared" si="101"/>
        <v>0</v>
      </c>
      <c r="M158" s="9">
        <f t="shared" si="101"/>
        <v>0</v>
      </c>
      <c r="N158" s="9">
        <f t="shared" si="101"/>
        <v>0</v>
      </c>
      <c r="O158" s="9">
        <f t="shared" si="101"/>
        <v>0</v>
      </c>
      <c r="P158" s="9">
        <f t="shared" si="101"/>
        <v>0</v>
      </c>
      <c r="Q158" s="9">
        <f t="shared" si="101"/>
        <v>0</v>
      </c>
      <c r="R158" s="9">
        <f t="shared" si="101"/>
        <v>0</v>
      </c>
      <c r="S158" s="9">
        <f t="shared" si="99"/>
        <v>22387136</v>
      </c>
      <c r="T158" s="135">
        <f t="shared" si="99"/>
        <v>437417934</v>
      </c>
      <c r="U158" s="50">
        <f t="shared" si="87"/>
        <v>5.1180196923521659E-2</v>
      </c>
      <c r="V158" s="48">
        <f>SUM(V159:V161)</f>
        <v>415030798</v>
      </c>
      <c r="AA158" s="276"/>
    </row>
    <row r="159" spans="1:27" ht="14.45" customHeight="1" x14ac:dyDescent="0.2">
      <c r="A159" s="1" t="s">
        <v>59</v>
      </c>
      <c r="B159" s="2" t="s">
        <v>59</v>
      </c>
      <c r="C159" s="2" t="s">
        <v>32</v>
      </c>
      <c r="D159" s="166" t="s">
        <v>59</v>
      </c>
      <c r="E159" s="166"/>
      <c r="F159" s="166" t="s">
        <v>161</v>
      </c>
      <c r="G159" s="168">
        <v>0</v>
      </c>
      <c r="H159" s="168">
        <v>0</v>
      </c>
      <c r="I159" s="168">
        <v>3253722</v>
      </c>
      <c r="J159" s="168">
        <v>951175</v>
      </c>
      <c r="K159" s="168"/>
      <c r="L159" s="168"/>
      <c r="M159" s="168"/>
      <c r="N159" s="168"/>
      <c r="O159" s="168"/>
      <c r="P159" s="168"/>
      <c r="Q159" s="168"/>
      <c r="R159" s="168"/>
      <c r="S159" s="168">
        <f>SUM(G159:R159)</f>
        <v>4204897</v>
      </c>
      <c r="T159" s="33">
        <v>401471838</v>
      </c>
      <c r="U159" s="51">
        <f t="shared" si="87"/>
        <v>1.0473703512922369E-2</v>
      </c>
      <c r="V159" s="163">
        <f>+T159-S159</f>
        <v>397266941</v>
      </c>
      <c r="AA159" s="276"/>
    </row>
    <row r="160" spans="1:27" ht="13.9" customHeight="1" x14ac:dyDescent="0.2">
      <c r="A160" s="1" t="s">
        <v>59</v>
      </c>
      <c r="B160" s="2" t="s">
        <v>59</v>
      </c>
      <c r="C160" s="2" t="s">
        <v>63</v>
      </c>
      <c r="D160" s="166" t="s">
        <v>59</v>
      </c>
      <c r="E160" s="166"/>
      <c r="F160" s="166" t="s">
        <v>162</v>
      </c>
      <c r="G160" s="33">
        <v>0</v>
      </c>
      <c r="H160" s="33">
        <v>0</v>
      </c>
      <c r="I160" s="33">
        <v>0</v>
      </c>
      <c r="J160" s="33">
        <v>0</v>
      </c>
      <c r="K160" s="33"/>
      <c r="L160" s="33"/>
      <c r="M160" s="33"/>
      <c r="N160" s="33"/>
      <c r="O160" s="33"/>
      <c r="P160" s="33"/>
      <c r="Q160" s="33"/>
      <c r="R160" s="33"/>
      <c r="S160" s="33">
        <f>SUM(G160:R160)</f>
        <v>0</v>
      </c>
      <c r="T160" s="33">
        <v>0</v>
      </c>
      <c r="U160" s="51" t="s">
        <v>31</v>
      </c>
      <c r="V160" s="163">
        <f>+T160-S160</f>
        <v>0</v>
      </c>
      <c r="AA160" s="276"/>
    </row>
    <row r="161" spans="1:27" ht="14.45" customHeight="1" x14ac:dyDescent="0.2">
      <c r="A161" s="1" t="s">
        <v>59</v>
      </c>
      <c r="B161" s="2" t="s">
        <v>59</v>
      </c>
      <c r="C161" s="2" t="s">
        <v>70</v>
      </c>
      <c r="D161" s="166" t="s">
        <v>59</v>
      </c>
      <c r="E161" s="166"/>
      <c r="F161" s="166" t="s">
        <v>123</v>
      </c>
      <c r="G161" s="92">
        <v>4067631</v>
      </c>
      <c r="H161" s="33">
        <v>7627756</v>
      </c>
      <c r="I161" s="33">
        <v>1664371</v>
      </c>
      <c r="J161" s="33">
        <v>4822481</v>
      </c>
      <c r="K161" s="33"/>
      <c r="L161" s="33"/>
      <c r="M161" s="33"/>
      <c r="N161" s="33"/>
      <c r="O161" s="33"/>
      <c r="P161" s="33"/>
      <c r="Q161" s="33"/>
      <c r="R161" s="33"/>
      <c r="S161" s="33">
        <f>SUM(G161:R161)</f>
        <v>18182239</v>
      </c>
      <c r="T161" s="33">
        <v>35946096</v>
      </c>
      <c r="U161" s="51">
        <f t="shared" si="87"/>
        <v>0.50581957495467655</v>
      </c>
      <c r="V161" s="163">
        <f>+T161-S161</f>
        <v>17763857</v>
      </c>
      <c r="AA161" s="276"/>
    </row>
    <row r="162" spans="1:27" x14ac:dyDescent="0.2">
      <c r="A162" s="1">
        <v>22</v>
      </c>
      <c r="B162" s="2" t="s">
        <v>163</v>
      </c>
      <c r="C162" s="2" t="s">
        <v>59</v>
      </c>
      <c r="D162" s="166" t="s">
        <v>59</v>
      </c>
      <c r="E162" s="166"/>
      <c r="F162" s="3" t="s">
        <v>164</v>
      </c>
      <c r="G162" s="9">
        <f>SUM(G163:G166)</f>
        <v>37583115</v>
      </c>
      <c r="H162" s="9">
        <f>SUM(H163:H166)</f>
        <v>95422667</v>
      </c>
      <c r="I162" s="9">
        <f t="shared" ref="I162" si="102">SUM(I163:I166)</f>
        <v>1833413244</v>
      </c>
      <c r="J162" s="9">
        <f t="shared" ref="J162:R162" si="103">SUM(J163:J166)</f>
        <v>273332540</v>
      </c>
      <c r="K162" s="9">
        <f t="shared" si="103"/>
        <v>0</v>
      </c>
      <c r="L162" s="9">
        <f t="shared" si="103"/>
        <v>0</v>
      </c>
      <c r="M162" s="9">
        <f t="shared" si="103"/>
        <v>0</v>
      </c>
      <c r="N162" s="9">
        <f t="shared" si="103"/>
        <v>0</v>
      </c>
      <c r="O162" s="9">
        <f t="shared" si="103"/>
        <v>0</v>
      </c>
      <c r="P162" s="9">
        <f t="shared" si="103"/>
        <v>0</v>
      </c>
      <c r="Q162" s="9">
        <f t="shared" si="103"/>
        <v>0</v>
      </c>
      <c r="R162" s="9">
        <f t="shared" si="103"/>
        <v>0</v>
      </c>
      <c r="S162" s="9">
        <f>SUM(S163:S166)</f>
        <v>2239751566</v>
      </c>
      <c r="T162" s="135">
        <f t="shared" ref="T162" si="104">SUM(T163:T166)</f>
        <v>8123817995</v>
      </c>
      <c r="U162" s="50">
        <f t="shared" si="87"/>
        <v>0.27570183962497796</v>
      </c>
      <c r="V162" s="48">
        <f>SUM(V163:V166)</f>
        <v>5884066429</v>
      </c>
      <c r="AA162" s="276"/>
    </row>
    <row r="163" spans="1:27" ht="14.45" customHeight="1" x14ac:dyDescent="0.2">
      <c r="A163" s="1" t="s">
        <v>59</v>
      </c>
      <c r="B163" s="2" t="s">
        <v>59</v>
      </c>
      <c r="C163" s="2" t="s">
        <v>28</v>
      </c>
      <c r="D163" s="166" t="s">
        <v>59</v>
      </c>
      <c r="E163" s="166"/>
      <c r="F163" s="166" t="s">
        <v>165</v>
      </c>
      <c r="G163" s="33">
        <v>0</v>
      </c>
      <c r="H163" s="33">
        <v>46191074</v>
      </c>
      <c r="I163" s="33">
        <v>0</v>
      </c>
      <c r="J163" s="33">
        <v>0</v>
      </c>
      <c r="K163" s="33"/>
      <c r="L163" s="33"/>
      <c r="M163" s="33"/>
      <c r="N163" s="33"/>
      <c r="O163" s="33"/>
      <c r="P163" s="33"/>
      <c r="Q163" s="33"/>
      <c r="R163" s="33"/>
      <c r="S163" s="33">
        <f>SUM(G163:R163)</f>
        <v>46191074</v>
      </c>
      <c r="T163" s="33">
        <v>94719750</v>
      </c>
      <c r="U163" s="51">
        <f t="shared" si="87"/>
        <v>0.48766042984699598</v>
      </c>
      <c r="V163" s="163">
        <f>+T163-S163</f>
        <v>48528676</v>
      </c>
      <c r="AA163" s="276"/>
    </row>
    <row r="164" spans="1:27" x14ac:dyDescent="0.2">
      <c r="A164" s="1" t="s">
        <v>59</v>
      </c>
      <c r="B164" s="2" t="s">
        <v>59</v>
      </c>
      <c r="C164" s="2" t="s">
        <v>32</v>
      </c>
      <c r="D164" s="166" t="s">
        <v>59</v>
      </c>
      <c r="E164" s="166"/>
      <c r="F164" s="166" t="s">
        <v>166</v>
      </c>
      <c r="G164" s="33">
        <v>2960000</v>
      </c>
      <c r="H164" s="33">
        <v>1415894</v>
      </c>
      <c r="I164" s="33">
        <v>1314777</v>
      </c>
      <c r="J164" s="33">
        <v>4478532</v>
      </c>
      <c r="K164" s="33"/>
      <c r="L164" s="33"/>
      <c r="M164" s="33"/>
      <c r="N164" s="33"/>
      <c r="O164" s="33"/>
      <c r="P164" s="33"/>
      <c r="Q164" s="33"/>
      <c r="R164" s="33"/>
      <c r="S164" s="33">
        <f>SUM(G164:R164)</f>
        <v>10169203</v>
      </c>
      <c r="T164" s="33">
        <v>781831857</v>
      </c>
      <c r="U164" s="51">
        <f t="shared" si="87"/>
        <v>1.3006892606065808E-2</v>
      </c>
      <c r="V164" s="163">
        <f>+T164-S164</f>
        <v>771662654</v>
      </c>
      <c r="AA164" s="276"/>
    </row>
    <row r="165" spans="1:27" x14ac:dyDescent="0.2">
      <c r="A165" s="1" t="s">
        <v>59</v>
      </c>
      <c r="B165" s="2" t="s">
        <v>59</v>
      </c>
      <c r="C165" s="2" t="s">
        <v>63</v>
      </c>
      <c r="D165" s="166" t="s">
        <v>59</v>
      </c>
      <c r="E165" s="166"/>
      <c r="F165" s="166" t="s">
        <v>167</v>
      </c>
      <c r="G165" s="92">
        <v>667496</v>
      </c>
      <c r="H165" s="33">
        <v>8508524</v>
      </c>
      <c r="I165" s="33">
        <v>1737212782</v>
      </c>
      <c r="J165" s="33">
        <v>246830689</v>
      </c>
      <c r="K165" s="33"/>
      <c r="L165" s="33"/>
      <c r="M165" s="33"/>
      <c r="N165" s="33"/>
      <c r="O165" s="33"/>
      <c r="P165" s="33"/>
      <c r="Q165" s="33"/>
      <c r="R165" s="33"/>
      <c r="S165" s="33">
        <f>SUM(G165:R165)</f>
        <v>1993219491</v>
      </c>
      <c r="T165" s="33">
        <v>6298395032</v>
      </c>
      <c r="U165" s="51">
        <f t="shared" si="87"/>
        <v>0.31646466772457599</v>
      </c>
      <c r="V165" s="163">
        <f>+T165-S165</f>
        <v>4305175541</v>
      </c>
      <c r="AA165" s="276"/>
    </row>
    <row r="166" spans="1:27" ht="14.45" customHeight="1" x14ac:dyDescent="0.2">
      <c r="A166" s="1" t="s">
        <v>59</v>
      </c>
      <c r="B166" s="2" t="s">
        <v>59</v>
      </c>
      <c r="C166" s="2" t="s">
        <v>70</v>
      </c>
      <c r="D166" s="166" t="s">
        <v>59</v>
      </c>
      <c r="E166" s="166"/>
      <c r="F166" s="166" t="s">
        <v>123</v>
      </c>
      <c r="G166" s="92">
        <v>33955619</v>
      </c>
      <c r="H166" s="33">
        <v>39307175</v>
      </c>
      <c r="I166" s="33">
        <v>94885685</v>
      </c>
      <c r="J166" s="33">
        <v>22023319</v>
      </c>
      <c r="K166" s="33"/>
      <c r="L166" s="33"/>
      <c r="M166" s="33"/>
      <c r="N166" s="33"/>
      <c r="O166" s="33"/>
      <c r="P166" s="33"/>
      <c r="Q166" s="33"/>
      <c r="R166" s="33"/>
      <c r="S166" s="33">
        <f>SUM(G166:R166)</f>
        <v>190171798</v>
      </c>
      <c r="T166" s="33">
        <v>948871356</v>
      </c>
      <c r="U166" s="51">
        <f t="shared" si="87"/>
        <v>0.20041894699158777</v>
      </c>
      <c r="V166" s="163">
        <f>+T166-S166</f>
        <v>758699558</v>
      </c>
      <c r="AA166" s="276"/>
    </row>
    <row r="167" spans="1:27" ht="13.9" customHeight="1" x14ac:dyDescent="0.2">
      <c r="A167" s="1">
        <v>22</v>
      </c>
      <c r="B167" s="2" t="s">
        <v>168</v>
      </c>
      <c r="C167" s="2" t="s">
        <v>59</v>
      </c>
      <c r="D167" s="166" t="s">
        <v>59</v>
      </c>
      <c r="E167" s="166"/>
      <c r="F167" s="3" t="s">
        <v>169</v>
      </c>
      <c r="G167" s="9">
        <f>SUM(G168:G173)</f>
        <v>281320863</v>
      </c>
      <c r="H167" s="9">
        <f>SUM(H168:H173)</f>
        <v>405794497</v>
      </c>
      <c r="I167" s="9">
        <f t="shared" ref="I167" si="105">SUM(I168:I173)</f>
        <v>465465735</v>
      </c>
      <c r="J167" s="9">
        <f t="shared" ref="J167:R167" si="106">SUM(J168:J173)</f>
        <v>435753568</v>
      </c>
      <c r="K167" s="9">
        <f t="shared" si="106"/>
        <v>0</v>
      </c>
      <c r="L167" s="9">
        <f t="shared" si="106"/>
        <v>0</v>
      </c>
      <c r="M167" s="9">
        <f t="shared" si="106"/>
        <v>0</v>
      </c>
      <c r="N167" s="9">
        <f t="shared" si="106"/>
        <v>0</v>
      </c>
      <c r="O167" s="9">
        <f t="shared" si="106"/>
        <v>0</v>
      </c>
      <c r="P167" s="9">
        <f t="shared" si="106"/>
        <v>0</v>
      </c>
      <c r="Q167" s="9">
        <f t="shared" si="106"/>
        <v>0</v>
      </c>
      <c r="R167" s="9">
        <f t="shared" si="106"/>
        <v>0</v>
      </c>
      <c r="S167" s="9">
        <f>SUM(S168:S173)</f>
        <v>1588334663</v>
      </c>
      <c r="T167" s="135">
        <f t="shared" ref="T167" si="107">SUM(T168:T173)</f>
        <v>6667294067</v>
      </c>
      <c r="U167" s="50">
        <f t="shared" si="87"/>
        <v>0.2382277798217296</v>
      </c>
      <c r="V167" s="48">
        <f>SUM(V168:V173)</f>
        <v>5078959404</v>
      </c>
      <c r="AA167" s="276"/>
    </row>
    <row r="168" spans="1:27" ht="14.45" customHeight="1" x14ac:dyDescent="0.2">
      <c r="A168" s="1" t="s">
        <v>59</v>
      </c>
      <c r="B168" s="2" t="s">
        <v>59</v>
      </c>
      <c r="C168" s="2" t="s">
        <v>32</v>
      </c>
      <c r="D168" s="166" t="s">
        <v>59</v>
      </c>
      <c r="E168" s="166"/>
      <c r="F168" s="166" t="s">
        <v>170</v>
      </c>
      <c r="G168" s="63">
        <v>30000</v>
      </c>
      <c r="H168" s="63">
        <v>8100</v>
      </c>
      <c r="I168" s="63">
        <v>82250</v>
      </c>
      <c r="J168" s="63">
        <v>42140</v>
      </c>
      <c r="K168" s="63"/>
      <c r="L168" s="63"/>
      <c r="M168" s="63"/>
      <c r="N168" s="63"/>
      <c r="O168" s="63"/>
      <c r="P168" s="63"/>
      <c r="Q168" s="63"/>
      <c r="R168" s="63"/>
      <c r="S168" s="63">
        <f>SUM(G168:R168)</f>
        <v>162490</v>
      </c>
      <c r="T168" s="63">
        <v>162490</v>
      </c>
      <c r="U168" s="51">
        <f t="shared" si="87"/>
        <v>1</v>
      </c>
      <c r="V168" s="163">
        <f>+T168-S168</f>
        <v>0</v>
      </c>
      <c r="AA168" s="276"/>
    </row>
    <row r="169" spans="1:27" x14ac:dyDescent="0.2">
      <c r="A169" s="1" t="s">
        <v>59</v>
      </c>
      <c r="B169" s="2" t="s">
        <v>59</v>
      </c>
      <c r="C169" s="2" t="s">
        <v>63</v>
      </c>
      <c r="D169" s="166" t="s">
        <v>59</v>
      </c>
      <c r="E169" s="166"/>
      <c r="F169" s="166" t="s">
        <v>171</v>
      </c>
      <c r="G169" s="221">
        <v>28803954</v>
      </c>
      <c r="H169" s="168">
        <v>153030</v>
      </c>
      <c r="I169" s="168">
        <v>1361729</v>
      </c>
      <c r="J169" s="168">
        <v>2665231</v>
      </c>
      <c r="K169" s="168"/>
      <c r="L169" s="168"/>
      <c r="M169" s="168"/>
      <c r="N169" s="168"/>
      <c r="O169" s="168"/>
      <c r="P169" s="168"/>
      <c r="Q169" s="168"/>
      <c r="R169" s="168"/>
      <c r="S169" s="168">
        <f>SUM(G169:R169)</f>
        <v>32983944</v>
      </c>
      <c r="T169" s="53">
        <v>62823578</v>
      </c>
      <c r="U169" s="51">
        <f t="shared" si="87"/>
        <v>0.5250249197840976</v>
      </c>
      <c r="V169" s="163">
        <f>+T169-S169</f>
        <v>29839634</v>
      </c>
      <c r="AA169" s="276"/>
    </row>
    <row r="170" spans="1:27" x14ac:dyDescent="0.2">
      <c r="A170" s="59"/>
      <c r="B170" s="57"/>
      <c r="C170" s="57" t="s">
        <v>64</v>
      </c>
      <c r="D170" s="174"/>
      <c r="E170" s="174"/>
      <c r="F170" s="174" t="s">
        <v>471</v>
      </c>
      <c r="G170" s="168">
        <v>0</v>
      </c>
      <c r="H170" s="168">
        <v>0</v>
      </c>
      <c r="I170" s="168">
        <v>0</v>
      </c>
      <c r="J170" s="168">
        <v>0</v>
      </c>
      <c r="K170" s="168"/>
      <c r="L170" s="168"/>
      <c r="M170" s="168"/>
      <c r="N170" s="168"/>
      <c r="O170" s="168"/>
      <c r="P170" s="168"/>
      <c r="Q170" s="168"/>
      <c r="R170" s="168"/>
      <c r="S170" s="168">
        <f>SUM(G170:R170)</f>
        <v>0</v>
      </c>
      <c r="T170" s="53">
        <v>0</v>
      </c>
      <c r="U170" s="51" t="s">
        <v>31</v>
      </c>
      <c r="V170" s="163">
        <f>+T170-S170</f>
        <v>0</v>
      </c>
      <c r="AA170" s="276"/>
    </row>
    <row r="171" spans="1:27" ht="14.45" customHeight="1" x14ac:dyDescent="0.2">
      <c r="A171" s="1" t="s">
        <v>59</v>
      </c>
      <c r="B171" s="2" t="s">
        <v>59</v>
      </c>
      <c r="C171" s="2" t="s">
        <v>74</v>
      </c>
      <c r="D171" s="166" t="s">
        <v>59</v>
      </c>
      <c r="E171" s="166"/>
      <c r="F171" s="166" t="s">
        <v>172</v>
      </c>
      <c r="G171" s="221">
        <v>75908</v>
      </c>
      <c r="H171" s="53">
        <v>214229</v>
      </c>
      <c r="I171" s="53">
        <v>3340531</v>
      </c>
      <c r="J171" s="53">
        <v>561868</v>
      </c>
      <c r="K171" s="53"/>
      <c r="L171" s="53"/>
      <c r="M171" s="53"/>
      <c r="N171" s="53"/>
      <c r="O171" s="53"/>
      <c r="P171" s="53"/>
      <c r="Q171" s="53"/>
      <c r="R171" s="53"/>
      <c r="S171" s="53">
        <f>SUM(G171:R171)</f>
        <v>4192536</v>
      </c>
      <c r="T171" s="53">
        <v>11402057</v>
      </c>
      <c r="U171" s="51">
        <f t="shared" si="87"/>
        <v>0.36769996852322351</v>
      </c>
      <c r="V171" s="163">
        <f>+T171-S171</f>
        <v>7209521</v>
      </c>
      <c r="AA171" s="276"/>
    </row>
    <row r="172" spans="1:27" ht="14.45" customHeight="1" x14ac:dyDescent="0.2">
      <c r="A172" s="1" t="s">
        <v>59</v>
      </c>
      <c r="B172" s="2" t="s">
        <v>59</v>
      </c>
      <c r="C172" s="2" t="s">
        <v>75</v>
      </c>
      <c r="D172" s="166" t="s">
        <v>59</v>
      </c>
      <c r="E172" s="166"/>
      <c r="F172" s="166" t="s">
        <v>173</v>
      </c>
      <c r="G172" s="180">
        <v>0</v>
      </c>
      <c r="H172" s="180">
        <v>0</v>
      </c>
      <c r="I172" s="180">
        <v>0</v>
      </c>
      <c r="J172" s="180">
        <v>2662012</v>
      </c>
      <c r="K172" s="180"/>
      <c r="L172" s="180"/>
      <c r="M172" s="180"/>
      <c r="N172" s="219"/>
      <c r="O172" s="180"/>
      <c r="P172" s="180"/>
      <c r="Q172" s="220"/>
      <c r="R172" s="180"/>
      <c r="S172" s="180">
        <f>SUM(G172:R172)</f>
        <v>2662012</v>
      </c>
      <c r="T172" s="71">
        <v>13500000</v>
      </c>
      <c r="U172" s="51">
        <f t="shared" si="87"/>
        <v>0.19718607407407407</v>
      </c>
      <c r="V172" s="163">
        <f>+T172-S172</f>
        <v>10837988</v>
      </c>
      <c r="AA172" s="276"/>
    </row>
    <row r="173" spans="1:27" ht="13.9" customHeight="1" x14ac:dyDescent="0.2">
      <c r="A173" s="1" t="s">
        <v>59</v>
      </c>
      <c r="B173" s="2" t="s">
        <v>59</v>
      </c>
      <c r="C173" s="2">
        <v>999</v>
      </c>
      <c r="D173" s="166" t="s">
        <v>59</v>
      </c>
      <c r="E173" s="166"/>
      <c r="F173" s="3" t="s">
        <v>123</v>
      </c>
      <c r="G173" s="9">
        <f>SUM(G174:G177)</f>
        <v>252411001</v>
      </c>
      <c r="H173" s="9">
        <f>SUM(H174:H177)</f>
        <v>405419138</v>
      </c>
      <c r="I173" s="9">
        <f t="shared" ref="I173" si="108">SUM(I174:I177)</f>
        <v>460681225</v>
      </c>
      <c r="J173" s="9">
        <f t="shared" ref="J173:R173" si="109">SUM(J174:J177)</f>
        <v>429822317</v>
      </c>
      <c r="K173" s="9">
        <f t="shared" si="109"/>
        <v>0</v>
      </c>
      <c r="L173" s="9">
        <f t="shared" si="109"/>
        <v>0</v>
      </c>
      <c r="M173" s="9">
        <f t="shared" si="109"/>
        <v>0</v>
      </c>
      <c r="N173" s="9">
        <f t="shared" si="109"/>
        <v>0</v>
      </c>
      <c r="O173" s="9">
        <f t="shared" si="109"/>
        <v>0</v>
      </c>
      <c r="P173" s="9">
        <f t="shared" si="109"/>
        <v>0</v>
      </c>
      <c r="Q173" s="9">
        <f t="shared" si="109"/>
        <v>0</v>
      </c>
      <c r="R173" s="9">
        <f t="shared" si="109"/>
        <v>0</v>
      </c>
      <c r="S173" s="9">
        <f>SUM(S174:S177)</f>
        <v>1548333681</v>
      </c>
      <c r="T173" s="135">
        <f t="shared" ref="T173" si="110">SUM(T174:T177)</f>
        <v>6579405942</v>
      </c>
      <c r="U173" s="50">
        <f t="shared" si="87"/>
        <v>0.23533031623966638</v>
      </c>
      <c r="V173" s="48">
        <f>SUM(V174:V177)</f>
        <v>5031072261</v>
      </c>
      <c r="AA173" s="276"/>
    </row>
    <row r="174" spans="1:27" x14ac:dyDescent="0.2">
      <c r="A174" s="1" t="s">
        <v>59</v>
      </c>
      <c r="B174" s="2" t="s">
        <v>59</v>
      </c>
      <c r="C174" s="2">
        <v>999</v>
      </c>
      <c r="D174" s="2" t="s">
        <v>174</v>
      </c>
      <c r="E174" s="2"/>
      <c r="F174" s="166" t="s">
        <v>175</v>
      </c>
      <c r="G174" s="92">
        <v>231406935</v>
      </c>
      <c r="H174" s="33">
        <v>377614415</v>
      </c>
      <c r="I174" s="33">
        <v>386885947</v>
      </c>
      <c r="J174" s="33">
        <v>392335639</v>
      </c>
      <c r="K174" s="33"/>
      <c r="L174" s="33"/>
      <c r="M174" s="33"/>
      <c r="N174" s="33"/>
      <c r="O174" s="33"/>
      <c r="P174" s="33"/>
      <c r="Q174" s="33"/>
      <c r="R174" s="33"/>
      <c r="S174" s="33">
        <f>SUM(G174:R174)</f>
        <v>1388242936</v>
      </c>
      <c r="T174" s="33">
        <v>5067395099</v>
      </c>
      <c r="U174" s="51">
        <f t="shared" si="87"/>
        <v>0.27395592979792632</v>
      </c>
      <c r="V174" s="163">
        <f>+T174-S174</f>
        <v>3679152163</v>
      </c>
      <c r="AA174" s="276"/>
    </row>
    <row r="175" spans="1:27" ht="14.45" customHeight="1" x14ac:dyDescent="0.2">
      <c r="A175" s="1" t="s">
        <v>59</v>
      </c>
      <c r="B175" s="2" t="s">
        <v>59</v>
      </c>
      <c r="C175" s="2">
        <v>999</v>
      </c>
      <c r="D175" s="2" t="s">
        <v>176</v>
      </c>
      <c r="E175" s="2"/>
      <c r="F175" s="166" t="s">
        <v>177</v>
      </c>
      <c r="G175" s="92">
        <v>6526002</v>
      </c>
      <c r="H175" s="33">
        <v>13002891</v>
      </c>
      <c r="I175" s="33">
        <v>30224112</v>
      </c>
      <c r="J175" s="33">
        <v>12777134</v>
      </c>
      <c r="K175" s="33"/>
      <c r="L175" s="33"/>
      <c r="M175" s="33"/>
      <c r="N175" s="33"/>
      <c r="O175" s="33"/>
      <c r="P175" s="33"/>
      <c r="Q175" s="33"/>
      <c r="R175" s="33"/>
      <c r="S175" s="33">
        <f>SUM(G175:R175)</f>
        <v>62530139</v>
      </c>
      <c r="T175" s="33">
        <v>676590060</v>
      </c>
      <c r="U175" s="51">
        <f t="shared" si="87"/>
        <v>9.2419535397844893E-2</v>
      </c>
      <c r="V175" s="163">
        <f>+T175-S175</f>
        <v>614059921</v>
      </c>
      <c r="AA175" s="276"/>
    </row>
    <row r="176" spans="1:27" ht="14.45" customHeight="1" x14ac:dyDescent="0.2">
      <c r="A176" s="1" t="s">
        <v>59</v>
      </c>
      <c r="B176" s="2" t="s">
        <v>59</v>
      </c>
      <c r="C176" s="2">
        <v>999</v>
      </c>
      <c r="D176" s="2" t="s">
        <v>178</v>
      </c>
      <c r="E176" s="2"/>
      <c r="F176" s="166" t="s">
        <v>123</v>
      </c>
      <c r="G176" s="92">
        <v>14478064</v>
      </c>
      <c r="H176" s="33">
        <v>14801832</v>
      </c>
      <c r="I176" s="33">
        <v>43571166</v>
      </c>
      <c r="J176" s="33">
        <v>24709544</v>
      </c>
      <c r="K176" s="33"/>
      <c r="L176" s="33"/>
      <c r="M176" s="33"/>
      <c r="N176" s="33"/>
      <c r="O176" s="33"/>
      <c r="P176" s="33"/>
      <c r="Q176" s="33"/>
      <c r="R176" s="33"/>
      <c r="S176" s="33">
        <f>SUM(G176:R176)</f>
        <v>97560606</v>
      </c>
      <c r="T176" s="33">
        <v>435170901</v>
      </c>
      <c r="U176" s="51">
        <f t="shared" si="87"/>
        <v>0.22418917665636839</v>
      </c>
      <c r="V176" s="163">
        <f>+T176-S176</f>
        <v>337610295</v>
      </c>
      <c r="AA176" s="276"/>
    </row>
    <row r="177" spans="1:27" ht="14.45" customHeight="1" x14ac:dyDescent="0.2">
      <c r="A177" s="1" t="s">
        <v>59</v>
      </c>
      <c r="B177" s="2" t="s">
        <v>59</v>
      </c>
      <c r="C177" s="2">
        <v>999</v>
      </c>
      <c r="D177" s="2" t="s">
        <v>179</v>
      </c>
      <c r="E177" s="2"/>
      <c r="F177" s="166" t="s">
        <v>180</v>
      </c>
      <c r="G177" s="168">
        <v>0</v>
      </c>
      <c r="H177" s="168">
        <v>0</v>
      </c>
      <c r="I177" s="168">
        <v>0</v>
      </c>
      <c r="J177" s="168">
        <v>0</v>
      </c>
      <c r="K177" s="168"/>
      <c r="L177" s="168"/>
      <c r="M177" s="168"/>
      <c r="N177" s="168"/>
      <c r="O177" s="168"/>
      <c r="P177" s="168"/>
      <c r="Q177" s="168"/>
      <c r="R177" s="168"/>
      <c r="S177" s="168">
        <f>SUM(G177:R177)</f>
        <v>0</v>
      </c>
      <c r="T177" s="33">
        <v>400249882</v>
      </c>
      <c r="U177" s="51">
        <f t="shared" si="87"/>
        <v>0</v>
      </c>
      <c r="V177" s="163">
        <f>+T177-S177</f>
        <v>400249882</v>
      </c>
      <c r="AA177" s="276"/>
    </row>
    <row r="178" spans="1:27" ht="13.9" customHeight="1" x14ac:dyDescent="0.2">
      <c r="A178" s="1" t="s">
        <v>59</v>
      </c>
      <c r="B178" s="2" t="s">
        <v>59</v>
      </c>
      <c r="C178" s="2" t="s">
        <v>59</v>
      </c>
      <c r="D178" s="2" t="s">
        <v>59</v>
      </c>
      <c r="E178" s="2"/>
      <c r="F178" s="166" t="s">
        <v>59</v>
      </c>
      <c r="G178" s="175"/>
      <c r="H178" s="175"/>
      <c r="I178" s="175"/>
      <c r="J178" s="175"/>
      <c r="K178" s="175"/>
      <c r="L178" s="175"/>
      <c r="M178" s="175"/>
      <c r="N178" s="168"/>
      <c r="O178" s="175"/>
      <c r="P178" s="175"/>
      <c r="Q178" s="175"/>
      <c r="R178" s="175"/>
      <c r="S178" s="175"/>
      <c r="T178" s="136"/>
      <c r="U178" s="52"/>
      <c r="V178" s="163"/>
      <c r="AA178" s="276"/>
    </row>
    <row r="179" spans="1:27" ht="13.9" customHeight="1" thickBot="1" x14ac:dyDescent="0.25">
      <c r="A179" s="169" t="s">
        <v>59</v>
      </c>
      <c r="B179" s="170" t="s">
        <v>59</v>
      </c>
      <c r="C179" s="170" t="s">
        <v>59</v>
      </c>
      <c r="D179" s="170" t="s">
        <v>59</v>
      </c>
      <c r="E179" s="170"/>
      <c r="F179" s="170" t="s">
        <v>59</v>
      </c>
      <c r="G179" s="171"/>
      <c r="H179" s="171"/>
      <c r="I179" s="171"/>
      <c r="J179" s="171"/>
      <c r="K179" s="171"/>
      <c r="L179" s="171"/>
      <c r="M179" s="171"/>
      <c r="N179" s="171"/>
      <c r="O179" s="171"/>
      <c r="P179" s="171"/>
      <c r="Q179" s="171"/>
      <c r="R179" s="171"/>
      <c r="S179" s="171"/>
      <c r="T179" s="89"/>
      <c r="U179" s="36"/>
      <c r="V179" s="172"/>
      <c r="AA179" s="276"/>
    </row>
    <row r="180" spans="1:27" ht="15.95" customHeight="1" x14ac:dyDescent="0.2">
      <c r="A180" s="229" t="s">
        <v>59</v>
      </c>
      <c r="B180" s="230" t="s">
        <v>59</v>
      </c>
      <c r="C180" s="230" t="s">
        <v>59</v>
      </c>
      <c r="D180" s="230" t="s">
        <v>59</v>
      </c>
      <c r="E180" s="230"/>
      <c r="F180" s="231" t="s">
        <v>181</v>
      </c>
      <c r="G180" s="232">
        <f t="shared" ref="G180:T180" si="111">G181+G183</f>
        <v>70331611</v>
      </c>
      <c r="H180" s="232">
        <f t="shared" ref="H180:I180" si="112">H181+H183</f>
        <v>31752534</v>
      </c>
      <c r="I180" s="232">
        <f t="shared" si="112"/>
        <v>106513241</v>
      </c>
      <c r="J180" s="232">
        <f t="shared" ref="J180:R180" si="113">J181+J183</f>
        <v>62429345</v>
      </c>
      <c r="K180" s="232">
        <f t="shared" si="113"/>
        <v>0</v>
      </c>
      <c r="L180" s="232">
        <f t="shared" si="113"/>
        <v>0</v>
      </c>
      <c r="M180" s="232">
        <f t="shared" si="113"/>
        <v>0</v>
      </c>
      <c r="N180" s="232">
        <f t="shared" si="113"/>
        <v>0</v>
      </c>
      <c r="O180" s="232">
        <f t="shared" si="113"/>
        <v>0</v>
      </c>
      <c r="P180" s="232">
        <f t="shared" si="113"/>
        <v>0</v>
      </c>
      <c r="Q180" s="232">
        <f t="shared" si="113"/>
        <v>0</v>
      </c>
      <c r="R180" s="232">
        <f t="shared" si="113"/>
        <v>0</v>
      </c>
      <c r="S180" s="232">
        <f t="shared" si="111"/>
        <v>271026731</v>
      </c>
      <c r="T180" s="232">
        <f t="shared" si="111"/>
        <v>515520000</v>
      </c>
      <c r="U180" s="233">
        <f>+S180/T180</f>
        <v>0.52573465820918686</v>
      </c>
      <c r="V180" s="234">
        <f>V181+V183</f>
        <v>244493269</v>
      </c>
      <c r="AA180" s="276"/>
    </row>
    <row r="181" spans="1:27" ht="13.9" customHeight="1" x14ac:dyDescent="0.2">
      <c r="A181" s="236">
        <v>23</v>
      </c>
      <c r="B181" s="236" t="s">
        <v>26</v>
      </c>
      <c r="C181" s="236"/>
      <c r="D181" s="249" t="s">
        <v>59</v>
      </c>
      <c r="E181" s="249"/>
      <c r="F181" s="248" t="s">
        <v>361</v>
      </c>
      <c r="G181" s="239">
        <f t="shared" ref="G181:T181" si="114">G182</f>
        <v>70331611</v>
      </c>
      <c r="H181" s="239">
        <f t="shared" si="114"/>
        <v>31752534</v>
      </c>
      <c r="I181" s="239">
        <f t="shared" si="114"/>
        <v>106513241</v>
      </c>
      <c r="J181" s="239">
        <f t="shared" si="114"/>
        <v>62429345</v>
      </c>
      <c r="K181" s="239">
        <f t="shared" si="114"/>
        <v>0</v>
      </c>
      <c r="L181" s="239">
        <f t="shared" si="114"/>
        <v>0</v>
      </c>
      <c r="M181" s="239">
        <f t="shared" si="114"/>
        <v>0</v>
      </c>
      <c r="N181" s="239">
        <f t="shared" si="114"/>
        <v>0</v>
      </c>
      <c r="O181" s="239">
        <f t="shared" si="114"/>
        <v>0</v>
      </c>
      <c r="P181" s="239">
        <f t="shared" si="114"/>
        <v>0</v>
      </c>
      <c r="Q181" s="239">
        <f t="shared" si="114"/>
        <v>0</v>
      </c>
      <c r="R181" s="239">
        <f t="shared" si="114"/>
        <v>0</v>
      </c>
      <c r="S181" s="239">
        <f t="shared" si="114"/>
        <v>271026731</v>
      </c>
      <c r="T181" s="244">
        <f t="shared" si="114"/>
        <v>515510000</v>
      </c>
      <c r="U181" s="242">
        <f>+S181/T181</f>
        <v>0.52574485654982439</v>
      </c>
      <c r="V181" s="246">
        <f>V182</f>
        <v>244483269</v>
      </c>
      <c r="AA181" s="276"/>
    </row>
    <row r="182" spans="1:27" ht="14.45" customHeight="1" x14ac:dyDescent="0.2">
      <c r="A182" s="11"/>
      <c r="B182" s="4"/>
      <c r="C182" s="2" t="s">
        <v>64</v>
      </c>
      <c r="D182" s="166"/>
      <c r="E182" s="176"/>
      <c r="F182" s="166" t="s">
        <v>433</v>
      </c>
      <c r="G182" s="92">
        <v>70331611</v>
      </c>
      <c r="H182" s="33">
        <v>31752534</v>
      </c>
      <c r="I182" s="33">
        <v>106513241</v>
      </c>
      <c r="J182" s="33">
        <v>62429345</v>
      </c>
      <c r="K182" s="33"/>
      <c r="L182" s="33"/>
      <c r="M182" s="33"/>
      <c r="N182" s="33"/>
      <c r="O182" s="33"/>
      <c r="P182" s="33"/>
      <c r="Q182" s="33"/>
      <c r="R182" s="33"/>
      <c r="S182" s="33">
        <f>SUM(G182:R182)</f>
        <v>271026731</v>
      </c>
      <c r="T182" s="33">
        <v>515510000</v>
      </c>
      <c r="U182" s="51">
        <f>+S182/T182</f>
        <v>0.52574485654982439</v>
      </c>
      <c r="V182" s="163">
        <f>+T182-S182</f>
        <v>244483269</v>
      </c>
      <c r="AA182" s="276"/>
    </row>
    <row r="183" spans="1:27" ht="13.9" customHeight="1" x14ac:dyDescent="0.2">
      <c r="A183" s="254">
        <v>23</v>
      </c>
      <c r="B183" s="236" t="s">
        <v>44</v>
      </c>
      <c r="C183" s="236"/>
      <c r="D183" s="249"/>
      <c r="E183" s="255"/>
      <c r="F183" s="256" t="s">
        <v>182</v>
      </c>
      <c r="G183" s="239">
        <f>G184</f>
        <v>0</v>
      </c>
      <c r="H183" s="239">
        <f>H184</f>
        <v>0</v>
      </c>
      <c r="I183" s="239">
        <f t="shared" ref="I183:R183" si="115">I184</f>
        <v>0</v>
      </c>
      <c r="J183" s="239">
        <f t="shared" si="115"/>
        <v>0</v>
      </c>
      <c r="K183" s="239">
        <f t="shared" si="115"/>
        <v>0</v>
      </c>
      <c r="L183" s="239">
        <f t="shared" si="115"/>
        <v>0</v>
      </c>
      <c r="M183" s="239">
        <f t="shared" si="115"/>
        <v>0</v>
      </c>
      <c r="N183" s="239">
        <f t="shared" si="115"/>
        <v>0</v>
      </c>
      <c r="O183" s="239">
        <f t="shared" si="115"/>
        <v>0</v>
      </c>
      <c r="P183" s="239">
        <f t="shared" si="115"/>
        <v>0</v>
      </c>
      <c r="Q183" s="239">
        <f t="shared" si="115"/>
        <v>0</v>
      </c>
      <c r="R183" s="239">
        <f t="shared" si="115"/>
        <v>0</v>
      </c>
      <c r="S183" s="239">
        <f t="shared" ref="S183:T183" si="116">S184</f>
        <v>0</v>
      </c>
      <c r="T183" s="244">
        <f t="shared" si="116"/>
        <v>10000</v>
      </c>
      <c r="U183" s="242">
        <f>+S183/T183</f>
        <v>0</v>
      </c>
      <c r="V183" s="246">
        <f>V184</f>
        <v>10000</v>
      </c>
      <c r="AA183" s="276"/>
    </row>
    <row r="184" spans="1:27" x14ac:dyDescent="0.2">
      <c r="A184" s="11"/>
      <c r="B184" s="4"/>
      <c r="C184" s="2" t="s">
        <v>28</v>
      </c>
      <c r="D184" s="166"/>
      <c r="E184" s="176"/>
      <c r="F184" s="176" t="s">
        <v>183</v>
      </c>
      <c r="G184" s="168">
        <v>0</v>
      </c>
      <c r="H184" s="168">
        <v>0</v>
      </c>
      <c r="I184" s="168">
        <v>0</v>
      </c>
      <c r="J184" s="168">
        <v>0</v>
      </c>
      <c r="K184" s="168"/>
      <c r="L184" s="168"/>
      <c r="M184" s="168"/>
      <c r="N184" s="168"/>
      <c r="O184" s="168"/>
      <c r="P184" s="168"/>
      <c r="Q184" s="168"/>
      <c r="R184" s="168"/>
      <c r="S184" s="168">
        <f>SUM(G184:R184)</f>
        <v>0</v>
      </c>
      <c r="T184" s="33">
        <v>10000</v>
      </c>
      <c r="U184" s="51">
        <f>+S184/T184</f>
        <v>0</v>
      </c>
      <c r="V184" s="163">
        <f>+T184-S184</f>
        <v>10000</v>
      </c>
      <c r="AA184" s="276"/>
    </row>
    <row r="185" spans="1:27" ht="13.9" customHeight="1" thickBot="1" x14ac:dyDescent="0.25">
      <c r="A185" s="169"/>
      <c r="B185" s="170"/>
      <c r="C185" s="170"/>
      <c r="D185" s="170"/>
      <c r="E185" s="170"/>
      <c r="F185" s="170"/>
      <c r="G185" s="171"/>
      <c r="H185" s="171"/>
      <c r="I185" s="171"/>
      <c r="J185" s="171"/>
      <c r="K185" s="171"/>
      <c r="L185" s="171"/>
      <c r="M185" s="171"/>
      <c r="N185" s="171"/>
      <c r="O185" s="171"/>
      <c r="P185" s="171"/>
      <c r="Q185" s="171"/>
      <c r="R185" s="171"/>
      <c r="S185" s="171"/>
      <c r="T185" s="89"/>
      <c r="U185" s="36"/>
      <c r="V185" s="172"/>
      <c r="AA185" s="276"/>
    </row>
    <row r="186" spans="1:27" ht="15.95" customHeight="1" x14ac:dyDescent="0.2">
      <c r="A186" s="229" t="s">
        <v>59</v>
      </c>
      <c r="B186" s="230" t="s">
        <v>59</v>
      </c>
      <c r="C186" s="230" t="s">
        <v>59</v>
      </c>
      <c r="D186" s="230" t="s">
        <v>59</v>
      </c>
      <c r="E186" s="230"/>
      <c r="F186" s="231" t="s">
        <v>184</v>
      </c>
      <c r="G186" s="232">
        <f>G187+G189+G191+G193</f>
        <v>522473857</v>
      </c>
      <c r="H186" s="232">
        <f t="shared" ref="H186:T186" si="117">H187+H189+H191+H193</f>
        <v>1780899281</v>
      </c>
      <c r="I186" s="232">
        <f t="shared" si="117"/>
        <v>929245943</v>
      </c>
      <c r="J186" s="232">
        <f t="shared" si="117"/>
        <v>862649612</v>
      </c>
      <c r="K186" s="232">
        <f t="shared" si="117"/>
        <v>0</v>
      </c>
      <c r="L186" s="232">
        <f t="shared" si="117"/>
        <v>0</v>
      </c>
      <c r="M186" s="232">
        <f t="shared" si="117"/>
        <v>0</v>
      </c>
      <c r="N186" s="232">
        <f t="shared" si="117"/>
        <v>0</v>
      </c>
      <c r="O186" s="232">
        <f t="shared" si="117"/>
        <v>0</v>
      </c>
      <c r="P186" s="232">
        <f t="shared" si="117"/>
        <v>0</v>
      </c>
      <c r="Q186" s="232">
        <f t="shared" si="117"/>
        <v>0</v>
      </c>
      <c r="R186" s="232">
        <f t="shared" si="117"/>
        <v>0</v>
      </c>
      <c r="S186" s="232">
        <f t="shared" si="117"/>
        <v>4095268693</v>
      </c>
      <c r="T186" s="232">
        <f t="shared" si="117"/>
        <v>13847231000</v>
      </c>
      <c r="U186" s="233">
        <f t="shared" ref="U186:U192" si="118">+S186/T186</f>
        <v>0.29574639817881276</v>
      </c>
      <c r="V186" s="234">
        <f>V187+V189+V191+V193</f>
        <v>9751962307</v>
      </c>
      <c r="AA186" s="276"/>
    </row>
    <row r="187" spans="1:27" ht="13.9" customHeight="1" x14ac:dyDescent="0.2">
      <c r="A187" s="236">
        <v>24</v>
      </c>
      <c r="B187" s="236" t="s">
        <v>26</v>
      </c>
      <c r="C187" s="251"/>
      <c r="D187" s="236"/>
      <c r="E187" s="236"/>
      <c r="F187" s="248" t="s">
        <v>185</v>
      </c>
      <c r="G187" s="239">
        <f t="shared" ref="G187:T187" si="119">G188</f>
        <v>0</v>
      </c>
      <c r="H187" s="239">
        <f t="shared" si="119"/>
        <v>0</v>
      </c>
      <c r="I187" s="239">
        <f t="shared" si="119"/>
        <v>0</v>
      </c>
      <c r="J187" s="239">
        <f t="shared" si="119"/>
        <v>0</v>
      </c>
      <c r="K187" s="239">
        <f>K188</f>
        <v>0</v>
      </c>
      <c r="L187" s="239">
        <f t="shared" si="119"/>
        <v>0</v>
      </c>
      <c r="M187" s="239">
        <f t="shared" si="119"/>
        <v>0</v>
      </c>
      <c r="N187" s="239">
        <f t="shared" si="119"/>
        <v>0</v>
      </c>
      <c r="O187" s="239">
        <f t="shared" si="119"/>
        <v>0</v>
      </c>
      <c r="P187" s="239">
        <f t="shared" si="119"/>
        <v>0</v>
      </c>
      <c r="Q187" s="239">
        <f t="shared" si="119"/>
        <v>0</v>
      </c>
      <c r="R187" s="239">
        <f t="shared" si="119"/>
        <v>0</v>
      </c>
      <c r="S187" s="239">
        <f t="shared" si="119"/>
        <v>0</v>
      </c>
      <c r="T187" s="244">
        <f t="shared" si="119"/>
        <v>61768000</v>
      </c>
      <c r="U187" s="242">
        <f t="shared" si="118"/>
        <v>0</v>
      </c>
      <c r="V187" s="246">
        <f>V188</f>
        <v>61768000</v>
      </c>
      <c r="AA187" s="276"/>
    </row>
    <row r="188" spans="1:27" ht="14.25" customHeight="1" x14ac:dyDescent="0.2">
      <c r="A188" s="2"/>
      <c r="B188" s="4"/>
      <c r="C188" s="2" t="s">
        <v>28</v>
      </c>
      <c r="D188" s="2"/>
      <c r="E188" s="2"/>
      <c r="F188" s="168" t="s">
        <v>186</v>
      </c>
      <c r="G188" s="33">
        <v>0</v>
      </c>
      <c r="H188" s="33">
        <v>0</v>
      </c>
      <c r="I188" s="33">
        <v>0</v>
      </c>
      <c r="J188" s="33">
        <v>0</v>
      </c>
      <c r="K188" s="33"/>
      <c r="L188" s="33"/>
      <c r="M188" s="33"/>
      <c r="N188" s="33"/>
      <c r="O188" s="33"/>
      <c r="P188" s="33"/>
      <c r="Q188" s="33"/>
      <c r="R188" s="33"/>
      <c r="S188" s="33">
        <f>SUM(G188:R188)</f>
        <v>0</v>
      </c>
      <c r="T188" s="33">
        <v>61768000</v>
      </c>
      <c r="U188" s="51">
        <f t="shared" si="118"/>
        <v>0</v>
      </c>
      <c r="V188" s="163">
        <f>+T188-S188</f>
        <v>61768000</v>
      </c>
      <c r="AA188" s="276"/>
    </row>
    <row r="189" spans="1:27" ht="13.9" customHeight="1" x14ac:dyDescent="0.2">
      <c r="A189" s="236">
        <v>24</v>
      </c>
      <c r="B189" s="236" t="s">
        <v>34</v>
      </c>
      <c r="C189" s="236" t="s">
        <v>59</v>
      </c>
      <c r="D189" s="249" t="s">
        <v>59</v>
      </c>
      <c r="E189" s="249"/>
      <c r="F189" s="248" t="s">
        <v>187</v>
      </c>
      <c r="G189" s="239">
        <f t="shared" ref="G189:T193" si="120">G190</f>
        <v>0</v>
      </c>
      <c r="H189" s="239">
        <f t="shared" si="120"/>
        <v>682732526</v>
      </c>
      <c r="I189" s="239">
        <f t="shared" si="120"/>
        <v>0</v>
      </c>
      <c r="J189" s="239">
        <f t="shared" si="120"/>
        <v>0</v>
      </c>
      <c r="K189" s="239">
        <f>K190</f>
        <v>0</v>
      </c>
      <c r="L189" s="239">
        <f t="shared" si="120"/>
        <v>0</v>
      </c>
      <c r="M189" s="239">
        <f t="shared" si="120"/>
        <v>0</v>
      </c>
      <c r="N189" s="239">
        <f t="shared" si="120"/>
        <v>0</v>
      </c>
      <c r="O189" s="239">
        <f t="shared" si="120"/>
        <v>0</v>
      </c>
      <c r="P189" s="239">
        <f t="shared" si="120"/>
        <v>0</v>
      </c>
      <c r="Q189" s="239">
        <f t="shared" si="120"/>
        <v>0</v>
      </c>
      <c r="R189" s="239">
        <f t="shared" si="120"/>
        <v>0</v>
      </c>
      <c r="S189" s="239">
        <f t="shared" si="120"/>
        <v>682732526</v>
      </c>
      <c r="T189" s="244">
        <f t="shared" si="120"/>
        <v>1207381000</v>
      </c>
      <c r="U189" s="242">
        <f t="shared" si="118"/>
        <v>0.56546568647344952</v>
      </c>
      <c r="V189" s="246">
        <f>V190</f>
        <v>524648474</v>
      </c>
      <c r="AA189" s="276"/>
    </row>
    <row r="190" spans="1:27" x14ac:dyDescent="0.2">
      <c r="A190" s="2" t="s">
        <v>59</v>
      </c>
      <c r="B190" s="2" t="s">
        <v>59</v>
      </c>
      <c r="C190" s="2" t="s">
        <v>28</v>
      </c>
      <c r="D190" s="166" t="s">
        <v>59</v>
      </c>
      <c r="E190" s="166"/>
      <c r="F190" s="166" t="s">
        <v>188</v>
      </c>
      <c r="G190" s="168">
        <v>0</v>
      </c>
      <c r="H190" s="168">
        <v>682732526</v>
      </c>
      <c r="I190" s="168">
        <v>0</v>
      </c>
      <c r="J190" s="168">
        <v>0</v>
      </c>
      <c r="K190" s="168"/>
      <c r="L190" s="168"/>
      <c r="M190" s="168"/>
      <c r="N190" s="168"/>
      <c r="O190" s="168"/>
      <c r="P190" s="168"/>
      <c r="Q190" s="168"/>
      <c r="R190" s="168"/>
      <c r="S190" s="168">
        <f>SUM(G190:R190)</f>
        <v>682732526</v>
      </c>
      <c r="T190" s="33">
        <v>1207381000</v>
      </c>
      <c r="U190" s="51">
        <f t="shared" si="118"/>
        <v>0.56546568647344952</v>
      </c>
      <c r="V190" s="163">
        <f>+T190-S190</f>
        <v>524648474</v>
      </c>
      <c r="AA190" s="276"/>
    </row>
    <row r="191" spans="1:27" ht="13.9" customHeight="1" x14ac:dyDescent="0.2">
      <c r="A191" s="236">
        <v>24</v>
      </c>
      <c r="B191" s="236" t="s">
        <v>140</v>
      </c>
      <c r="C191" s="236" t="s">
        <v>59</v>
      </c>
      <c r="D191" s="249" t="s">
        <v>59</v>
      </c>
      <c r="E191" s="249"/>
      <c r="F191" s="248" t="s">
        <v>474</v>
      </c>
      <c r="G191" s="239">
        <f>G192</f>
        <v>0</v>
      </c>
      <c r="H191" s="239">
        <f t="shared" si="120"/>
        <v>0</v>
      </c>
      <c r="I191" s="239">
        <f t="shared" si="120"/>
        <v>0</v>
      </c>
      <c r="J191" s="239">
        <f t="shared" si="120"/>
        <v>0</v>
      </c>
      <c r="K191" s="239">
        <f>K192</f>
        <v>0</v>
      </c>
      <c r="L191" s="239">
        <f t="shared" si="120"/>
        <v>0</v>
      </c>
      <c r="M191" s="239">
        <f t="shared" si="120"/>
        <v>0</v>
      </c>
      <c r="N191" s="239">
        <f t="shared" si="120"/>
        <v>0</v>
      </c>
      <c r="O191" s="239">
        <f t="shared" si="120"/>
        <v>0</v>
      </c>
      <c r="P191" s="239">
        <f t="shared" si="120"/>
        <v>0</v>
      </c>
      <c r="Q191" s="239">
        <f t="shared" si="120"/>
        <v>0</v>
      </c>
      <c r="R191" s="239">
        <f t="shared" si="120"/>
        <v>0</v>
      </c>
      <c r="S191" s="239">
        <f t="shared" si="120"/>
        <v>0</v>
      </c>
      <c r="T191" s="244">
        <f>T192</f>
        <v>2608000</v>
      </c>
      <c r="U191" s="242">
        <f t="shared" si="118"/>
        <v>0</v>
      </c>
      <c r="V191" s="246">
        <f>V192</f>
        <v>2608000</v>
      </c>
      <c r="AA191" s="276"/>
    </row>
    <row r="192" spans="1:27" x14ac:dyDescent="0.2">
      <c r="A192" s="2" t="s">
        <v>59</v>
      </c>
      <c r="B192" s="2" t="s">
        <v>59</v>
      </c>
      <c r="C192" s="2" t="s">
        <v>28</v>
      </c>
      <c r="D192" s="166" t="s">
        <v>59</v>
      </c>
      <c r="E192" s="166"/>
      <c r="F192" s="166" t="s">
        <v>477</v>
      </c>
      <c r="G192" s="168">
        <v>0</v>
      </c>
      <c r="H192" s="33">
        <v>0</v>
      </c>
      <c r="I192" s="168">
        <v>0</v>
      </c>
      <c r="J192" s="168">
        <v>0</v>
      </c>
      <c r="K192" s="168"/>
      <c r="L192" s="168"/>
      <c r="M192" s="168"/>
      <c r="N192" s="168"/>
      <c r="O192" s="168"/>
      <c r="P192" s="168"/>
      <c r="Q192" s="168"/>
      <c r="R192" s="168"/>
      <c r="S192" s="168">
        <f>SUM(G192:R192)</f>
        <v>0</v>
      </c>
      <c r="T192" s="33">
        <v>2608000</v>
      </c>
      <c r="U192" s="51">
        <f t="shared" si="118"/>
        <v>0</v>
      </c>
      <c r="V192" s="163">
        <f>+T192-S192</f>
        <v>2608000</v>
      </c>
      <c r="AA192" s="276"/>
    </row>
    <row r="193" spans="1:30" ht="13.9" customHeight="1" x14ac:dyDescent="0.2">
      <c r="A193" s="236">
        <v>24</v>
      </c>
      <c r="B193" s="236" t="s">
        <v>39</v>
      </c>
      <c r="C193" s="236" t="s">
        <v>59</v>
      </c>
      <c r="D193" s="249" t="s">
        <v>59</v>
      </c>
      <c r="E193" s="249"/>
      <c r="F193" s="248" t="s">
        <v>412</v>
      </c>
      <c r="G193" s="239">
        <f t="shared" si="120"/>
        <v>522473857</v>
      </c>
      <c r="H193" s="239">
        <f t="shared" si="120"/>
        <v>1098166755</v>
      </c>
      <c r="I193" s="239">
        <f t="shared" si="120"/>
        <v>929245943</v>
      </c>
      <c r="J193" s="239">
        <f t="shared" si="120"/>
        <v>862649612</v>
      </c>
      <c r="K193" s="239">
        <f>K194</f>
        <v>0</v>
      </c>
      <c r="L193" s="239">
        <f t="shared" si="120"/>
        <v>0</v>
      </c>
      <c r="M193" s="239">
        <f t="shared" si="120"/>
        <v>0</v>
      </c>
      <c r="N193" s="239">
        <f t="shared" si="120"/>
        <v>0</v>
      </c>
      <c r="O193" s="239">
        <f t="shared" si="120"/>
        <v>0</v>
      </c>
      <c r="P193" s="239">
        <f t="shared" si="120"/>
        <v>0</v>
      </c>
      <c r="Q193" s="239">
        <f t="shared" si="120"/>
        <v>0</v>
      </c>
      <c r="R193" s="239">
        <f t="shared" si="120"/>
        <v>0</v>
      </c>
      <c r="S193" s="239">
        <f t="shared" si="120"/>
        <v>3412536167</v>
      </c>
      <c r="T193" s="244">
        <f t="shared" si="120"/>
        <v>12575474000</v>
      </c>
      <c r="U193" s="242">
        <f t="shared" ref="U193:U194" si="121">+S193/T193</f>
        <v>0.27136441672099199</v>
      </c>
      <c r="V193" s="246">
        <f>V194</f>
        <v>9162937833</v>
      </c>
      <c r="AA193" s="276"/>
    </row>
    <row r="194" spans="1:30" x14ac:dyDescent="0.2">
      <c r="A194" s="93" t="s">
        <v>59</v>
      </c>
      <c r="B194" s="93" t="s">
        <v>59</v>
      </c>
      <c r="C194" s="93" t="s">
        <v>28</v>
      </c>
      <c r="D194" s="177" t="s">
        <v>59</v>
      </c>
      <c r="E194" s="177"/>
      <c r="F194" s="177" t="s">
        <v>413</v>
      </c>
      <c r="G194" s="178">
        <f>G195+G196+G197+G198</f>
        <v>522473857</v>
      </c>
      <c r="H194" s="178">
        <f t="shared" ref="H194:S194" si="122">H195+H196+H197+H198</f>
        <v>1098166755</v>
      </c>
      <c r="I194" s="178">
        <v>929245943</v>
      </c>
      <c r="J194" s="178">
        <f t="shared" si="122"/>
        <v>862649612</v>
      </c>
      <c r="K194" s="178">
        <f t="shared" si="122"/>
        <v>0</v>
      </c>
      <c r="L194" s="178"/>
      <c r="M194" s="178"/>
      <c r="N194" s="178">
        <f>N195+N196+N197</f>
        <v>0</v>
      </c>
      <c r="O194" s="178"/>
      <c r="P194" s="178">
        <f t="shared" si="122"/>
        <v>0</v>
      </c>
      <c r="Q194" s="178">
        <f t="shared" si="122"/>
        <v>0</v>
      </c>
      <c r="R194" s="178">
        <f t="shared" si="122"/>
        <v>0</v>
      </c>
      <c r="S194" s="178">
        <f t="shared" si="122"/>
        <v>3412536167</v>
      </c>
      <c r="T194" s="137">
        <f>T195+T196+T197+T198</f>
        <v>12575474000</v>
      </c>
      <c r="U194" s="51">
        <f t="shared" si="121"/>
        <v>0.27136441672099199</v>
      </c>
      <c r="V194" s="167">
        <f>+T194-S194</f>
        <v>9162937833</v>
      </c>
      <c r="AA194" s="276"/>
    </row>
    <row r="195" spans="1:30" x14ac:dyDescent="0.2">
      <c r="A195" s="57" t="s">
        <v>59</v>
      </c>
      <c r="B195" s="57" t="s">
        <v>59</v>
      </c>
      <c r="C195" s="57"/>
      <c r="D195" s="57" t="s">
        <v>174</v>
      </c>
      <c r="E195" s="174"/>
      <c r="F195" s="94" t="s">
        <v>519</v>
      </c>
      <c r="G195" s="168">
        <v>451760373</v>
      </c>
      <c r="H195" s="53">
        <v>973523320</v>
      </c>
      <c r="I195" s="168">
        <v>736150735</v>
      </c>
      <c r="J195" s="168">
        <v>742670918</v>
      </c>
      <c r="K195" s="168"/>
      <c r="L195" s="168"/>
      <c r="M195" s="168"/>
      <c r="N195" s="168"/>
      <c r="O195" s="168"/>
      <c r="P195" s="168"/>
      <c r="Q195" s="168"/>
      <c r="R195" s="168"/>
      <c r="S195" s="168">
        <f>SUM(G195:R195)</f>
        <v>2904105346</v>
      </c>
      <c r="T195" s="95">
        <v>9173155504</v>
      </c>
      <c r="U195" s="51">
        <f t="shared" ref="U195:U197" si="123">+S195/T195</f>
        <v>0.3165873885745914</v>
      </c>
      <c r="V195" s="167">
        <f>+T195-S195</f>
        <v>6269050158</v>
      </c>
      <c r="AA195" s="276"/>
    </row>
    <row r="196" spans="1:30" x14ac:dyDescent="0.2">
      <c r="A196" s="57" t="s">
        <v>59</v>
      </c>
      <c r="B196" s="57" t="s">
        <v>59</v>
      </c>
      <c r="C196" s="57"/>
      <c r="D196" s="57" t="s">
        <v>176</v>
      </c>
      <c r="E196" s="174"/>
      <c r="F196" s="94" t="s">
        <v>427</v>
      </c>
      <c r="G196" s="168">
        <v>159045</v>
      </c>
      <c r="H196" s="53">
        <v>574790</v>
      </c>
      <c r="I196" s="168">
        <v>4231474</v>
      </c>
      <c r="J196" s="168">
        <v>343212</v>
      </c>
      <c r="K196" s="168"/>
      <c r="L196" s="168"/>
      <c r="M196" s="168"/>
      <c r="N196" s="168"/>
      <c r="O196" s="168"/>
      <c r="P196" s="168"/>
      <c r="Q196" s="168"/>
      <c r="R196" s="168"/>
      <c r="S196" s="168">
        <f>SUM(G196:R196)</f>
        <v>5308521</v>
      </c>
      <c r="T196" s="95">
        <v>30000000</v>
      </c>
      <c r="U196" s="51">
        <f t="shared" si="123"/>
        <v>0.17695069999999999</v>
      </c>
      <c r="V196" s="167">
        <f>+T196-S196</f>
        <v>24691479</v>
      </c>
      <c r="AA196" s="276"/>
    </row>
    <row r="197" spans="1:30" x14ac:dyDescent="0.2">
      <c r="A197" s="57" t="s">
        <v>59</v>
      </c>
      <c r="B197" s="57" t="s">
        <v>59</v>
      </c>
      <c r="C197" s="57"/>
      <c r="D197" s="57" t="s">
        <v>178</v>
      </c>
      <c r="E197" s="174"/>
      <c r="F197" s="94" t="s">
        <v>520</v>
      </c>
      <c r="G197" s="168">
        <v>70554439</v>
      </c>
      <c r="H197" s="53">
        <v>124068645</v>
      </c>
      <c r="I197" s="168">
        <v>188863734</v>
      </c>
      <c r="J197" s="168">
        <v>119635482</v>
      </c>
      <c r="K197" s="168"/>
      <c r="L197" s="168"/>
      <c r="M197" s="168"/>
      <c r="N197" s="168"/>
      <c r="O197" s="168"/>
      <c r="P197" s="168"/>
      <c r="Q197" s="168"/>
      <c r="R197" s="168"/>
      <c r="S197" s="168">
        <f>SUM(G197:R197)</f>
        <v>503122300</v>
      </c>
      <c r="T197" s="95">
        <v>1876692608</v>
      </c>
      <c r="U197" s="51">
        <f t="shared" si="123"/>
        <v>0.26808988209112189</v>
      </c>
      <c r="V197" s="167">
        <f>+T197-S197</f>
        <v>1373570308</v>
      </c>
      <c r="AA197" s="276"/>
    </row>
    <row r="198" spans="1:30" x14ac:dyDescent="0.2">
      <c r="A198" s="78" t="s">
        <v>59</v>
      </c>
      <c r="B198" s="78" t="s">
        <v>59</v>
      </c>
      <c r="C198" s="78"/>
      <c r="D198" s="78" t="s">
        <v>179</v>
      </c>
      <c r="E198" s="179"/>
      <c r="F198" s="96" t="s">
        <v>428</v>
      </c>
      <c r="G198" s="180">
        <v>0</v>
      </c>
      <c r="H198" s="71">
        <v>0</v>
      </c>
      <c r="I198" s="180">
        <v>0</v>
      </c>
      <c r="J198" s="180">
        <v>0</v>
      </c>
      <c r="K198" s="180"/>
      <c r="L198" s="180"/>
      <c r="M198" s="180"/>
      <c r="N198" s="180"/>
      <c r="O198" s="180"/>
      <c r="P198" s="180"/>
      <c r="Q198" s="180"/>
      <c r="R198" s="180"/>
      <c r="S198" s="180">
        <f>SUM(G198:R198)</f>
        <v>0</v>
      </c>
      <c r="T198" s="33">
        <v>1495625888</v>
      </c>
      <c r="U198" s="51">
        <f>+S198/T198</f>
        <v>0</v>
      </c>
      <c r="V198" s="167">
        <f>+T198-S198</f>
        <v>1495625888</v>
      </c>
      <c r="AA198" s="276"/>
    </row>
    <row r="199" spans="1:30" ht="13.9" customHeight="1" thickBot="1" x14ac:dyDescent="0.25">
      <c r="A199" s="169"/>
      <c r="B199" s="170"/>
      <c r="C199" s="170"/>
      <c r="D199" s="170"/>
      <c r="E199" s="170"/>
      <c r="F199" s="170"/>
      <c r="G199" s="171"/>
      <c r="H199" s="171"/>
      <c r="I199" s="171"/>
      <c r="J199" s="171"/>
      <c r="K199" s="171"/>
      <c r="L199" s="171"/>
      <c r="M199" s="171"/>
      <c r="N199" s="171"/>
      <c r="O199" s="171"/>
      <c r="P199" s="171"/>
      <c r="Q199" s="171"/>
      <c r="R199" s="171"/>
      <c r="S199" s="171"/>
      <c r="T199" s="89"/>
      <c r="U199" s="36"/>
      <c r="V199" s="172"/>
      <c r="AA199" s="276"/>
    </row>
    <row r="200" spans="1:30" ht="15.95" customHeight="1" x14ac:dyDescent="0.2">
      <c r="A200" s="229"/>
      <c r="B200" s="230" t="s">
        <v>59</v>
      </c>
      <c r="C200" s="230" t="s">
        <v>59</v>
      </c>
      <c r="D200" s="230" t="s">
        <v>59</v>
      </c>
      <c r="E200" s="230"/>
      <c r="F200" s="231" t="s">
        <v>308</v>
      </c>
      <c r="G200" s="232">
        <f>G201+G203</f>
        <v>742</v>
      </c>
      <c r="H200" s="232">
        <f t="shared" ref="H200:P200" si="124">H201+H203</f>
        <v>730</v>
      </c>
      <c r="I200" s="232">
        <f t="shared" si="124"/>
        <v>238</v>
      </c>
      <c r="J200" s="232">
        <f t="shared" si="124"/>
        <v>9448838</v>
      </c>
      <c r="K200" s="232">
        <f t="shared" si="124"/>
        <v>0</v>
      </c>
      <c r="L200" s="232">
        <f t="shared" si="124"/>
        <v>0</v>
      </c>
      <c r="M200" s="232">
        <f t="shared" si="124"/>
        <v>0</v>
      </c>
      <c r="N200" s="232">
        <f t="shared" si="124"/>
        <v>0</v>
      </c>
      <c r="O200" s="232">
        <f t="shared" si="124"/>
        <v>0</v>
      </c>
      <c r="P200" s="232">
        <f t="shared" si="124"/>
        <v>0</v>
      </c>
      <c r="Q200" s="232">
        <f t="shared" ref="Q200" si="125">Q201+Q203</f>
        <v>0</v>
      </c>
      <c r="R200" s="232">
        <f t="shared" ref="R200" si="126">R201+R203</f>
        <v>0</v>
      </c>
      <c r="S200" s="232">
        <f>S201+S203</f>
        <v>9450548</v>
      </c>
      <c r="T200" s="232">
        <f t="shared" ref="T200" si="127">T201+T203</f>
        <v>863000</v>
      </c>
      <c r="U200" s="233">
        <f>+S200/T200</f>
        <v>10.950808806488991</v>
      </c>
      <c r="V200" s="234">
        <f>+T200-S200</f>
        <v>-8587548</v>
      </c>
      <c r="AA200" s="276"/>
    </row>
    <row r="201" spans="1:30" ht="13.9" customHeight="1" x14ac:dyDescent="0.2">
      <c r="A201" s="236">
        <v>25</v>
      </c>
      <c r="B201" s="236">
        <v>1</v>
      </c>
      <c r="C201" s="236"/>
      <c r="D201" s="236"/>
      <c r="E201" s="236"/>
      <c r="F201" s="237" t="s">
        <v>307</v>
      </c>
      <c r="G201" s="239">
        <f>+G202</f>
        <v>742</v>
      </c>
      <c r="H201" s="239">
        <f t="shared" ref="H201:S201" si="128">+H202</f>
        <v>730</v>
      </c>
      <c r="I201" s="239">
        <f t="shared" si="128"/>
        <v>238</v>
      </c>
      <c r="J201" s="239">
        <f t="shared" si="128"/>
        <v>9448838</v>
      </c>
      <c r="K201" s="239">
        <f t="shared" si="128"/>
        <v>0</v>
      </c>
      <c r="L201" s="239">
        <f t="shared" si="128"/>
        <v>0</v>
      </c>
      <c r="M201" s="239">
        <f t="shared" si="128"/>
        <v>0</v>
      </c>
      <c r="N201" s="239">
        <f t="shared" si="128"/>
        <v>0</v>
      </c>
      <c r="O201" s="239">
        <f t="shared" si="128"/>
        <v>0</v>
      </c>
      <c r="P201" s="239">
        <f t="shared" si="128"/>
        <v>0</v>
      </c>
      <c r="Q201" s="239">
        <f t="shared" si="128"/>
        <v>0</v>
      </c>
      <c r="R201" s="239">
        <f t="shared" si="128"/>
        <v>0</v>
      </c>
      <c r="S201" s="239">
        <f t="shared" si="128"/>
        <v>9450548</v>
      </c>
      <c r="T201" s="244">
        <f>+T202</f>
        <v>853000</v>
      </c>
      <c r="U201" s="245">
        <f>+S201/T201</f>
        <v>11.079188745603751</v>
      </c>
      <c r="V201" s="243">
        <f>+T201-S201</f>
        <v>-8597548</v>
      </c>
      <c r="AA201" s="276"/>
    </row>
    <row r="202" spans="1:30" ht="14.45" customHeight="1" x14ac:dyDescent="0.2">
      <c r="A202" s="181">
        <v>25</v>
      </c>
      <c r="B202" s="181">
        <v>1</v>
      </c>
      <c r="C202" s="181">
        <v>1</v>
      </c>
      <c r="D202" s="181"/>
      <c r="E202" s="181"/>
      <c r="F202" s="182" t="s">
        <v>307</v>
      </c>
      <c r="G202" s="34">
        <v>742</v>
      </c>
      <c r="H202" s="34">
        <v>730</v>
      </c>
      <c r="I202" s="34">
        <v>238</v>
      </c>
      <c r="J202" s="168">
        <v>9448838</v>
      </c>
      <c r="K202" s="168"/>
      <c r="L202" s="33"/>
      <c r="M202" s="33"/>
      <c r="N202" s="33"/>
      <c r="O202" s="33"/>
      <c r="P202" s="168"/>
      <c r="Q202" s="34"/>
      <c r="R202" s="34"/>
      <c r="S202" s="307">
        <f>SUM(G202:R202)</f>
        <v>9450548</v>
      </c>
      <c r="T202" s="33">
        <v>853000</v>
      </c>
      <c r="U202" s="51">
        <f>+S202/T202</f>
        <v>11.079188745603751</v>
      </c>
      <c r="V202" s="167">
        <f>+T202-S202</f>
        <v>-8597548</v>
      </c>
      <c r="AA202" s="276"/>
    </row>
    <row r="203" spans="1:30" s="76" customFormat="1" ht="14.45" customHeight="1" x14ac:dyDescent="0.25">
      <c r="A203" s="236">
        <v>25</v>
      </c>
      <c r="B203" s="236">
        <v>99</v>
      </c>
      <c r="C203" s="236"/>
      <c r="D203" s="236"/>
      <c r="E203" s="236"/>
      <c r="F203" s="237" t="s">
        <v>376</v>
      </c>
      <c r="G203" s="238">
        <f>+G204</f>
        <v>0</v>
      </c>
      <c r="H203" s="238">
        <f t="shared" ref="H203:Q203" si="129">+H204</f>
        <v>0</v>
      </c>
      <c r="I203" s="238">
        <f t="shared" si="129"/>
        <v>0</v>
      </c>
      <c r="J203" s="238">
        <f t="shared" si="129"/>
        <v>0</v>
      </c>
      <c r="K203" s="238">
        <f t="shared" si="129"/>
        <v>0</v>
      </c>
      <c r="L203" s="238">
        <f t="shared" si="129"/>
        <v>0</v>
      </c>
      <c r="M203" s="238">
        <f t="shared" si="129"/>
        <v>0</v>
      </c>
      <c r="N203" s="238">
        <f t="shared" si="129"/>
        <v>0</v>
      </c>
      <c r="O203" s="239">
        <f t="shared" si="129"/>
        <v>0</v>
      </c>
      <c r="P203" s="239">
        <f t="shared" si="129"/>
        <v>0</v>
      </c>
      <c r="Q203" s="239">
        <f t="shared" si="129"/>
        <v>0</v>
      </c>
      <c r="R203" s="238">
        <f>+R204</f>
        <v>0</v>
      </c>
      <c r="S203" s="240">
        <f>SUM(G203:R203)</f>
        <v>0</v>
      </c>
      <c r="T203" s="241">
        <f>+T204</f>
        <v>10000</v>
      </c>
      <c r="U203" s="242">
        <f>+S203/T203</f>
        <v>0</v>
      </c>
      <c r="V203" s="243">
        <f>+T203-S203</f>
        <v>10000</v>
      </c>
      <c r="W203" s="271"/>
      <c r="X203" s="271"/>
      <c r="Y203" s="271"/>
      <c r="Z203" s="274"/>
      <c r="AA203" s="276"/>
      <c r="AB203" s="274"/>
      <c r="AC203" s="274"/>
      <c r="AD203" s="275"/>
    </row>
    <row r="204" spans="1:30" ht="14.45" customHeight="1" x14ac:dyDescent="0.2">
      <c r="A204" s="181">
        <v>14</v>
      </c>
      <c r="B204" s="181">
        <v>99</v>
      </c>
      <c r="C204" s="181">
        <v>1</v>
      </c>
      <c r="D204" s="181"/>
      <c r="E204" s="181"/>
      <c r="F204" s="182" t="s">
        <v>376</v>
      </c>
      <c r="G204" s="34">
        <v>0</v>
      </c>
      <c r="H204" s="34">
        <v>0</v>
      </c>
      <c r="I204" s="34">
        <v>0</v>
      </c>
      <c r="J204" s="168">
        <v>0</v>
      </c>
      <c r="K204" s="168"/>
      <c r="L204" s="34"/>
      <c r="M204" s="34"/>
      <c r="N204" s="34"/>
      <c r="O204" s="33"/>
      <c r="P204" s="33"/>
      <c r="Q204" s="168"/>
      <c r="R204" s="34"/>
      <c r="S204" s="77">
        <f>SUM(G204:R204)</f>
        <v>0</v>
      </c>
      <c r="T204" s="33">
        <v>10000</v>
      </c>
      <c r="U204" s="51">
        <f>+S204/T204</f>
        <v>0</v>
      </c>
      <c r="V204" s="167">
        <f>+T204-S204</f>
        <v>10000</v>
      </c>
      <c r="AA204" s="276"/>
    </row>
    <row r="205" spans="1:30" ht="13.9" customHeight="1" thickBot="1" x14ac:dyDescent="0.25">
      <c r="A205" s="169"/>
      <c r="B205" s="170"/>
      <c r="C205" s="170"/>
      <c r="D205" s="170"/>
      <c r="E205" s="170"/>
      <c r="F205" s="170"/>
      <c r="G205" s="171"/>
      <c r="H205" s="171"/>
      <c r="I205" s="171"/>
      <c r="J205" s="171"/>
      <c r="K205" s="171"/>
      <c r="L205" s="171"/>
      <c r="M205" s="171"/>
      <c r="N205" s="171"/>
      <c r="O205" s="171"/>
      <c r="P205" s="171"/>
      <c r="Q205" s="171"/>
      <c r="R205" s="171"/>
      <c r="S205" s="171"/>
      <c r="T205" s="89"/>
      <c r="U205" s="36"/>
      <c r="V205" s="172"/>
      <c r="AA205" s="276"/>
    </row>
    <row r="206" spans="1:30" ht="15.95" customHeight="1" x14ac:dyDescent="0.2">
      <c r="A206" s="229"/>
      <c r="B206" s="230" t="s">
        <v>59</v>
      </c>
      <c r="C206" s="230" t="s">
        <v>59</v>
      </c>
      <c r="D206" s="230" t="s">
        <v>59</v>
      </c>
      <c r="E206" s="230"/>
      <c r="F206" s="231" t="s">
        <v>394</v>
      </c>
      <c r="G206" s="232">
        <f t="shared" ref="G206:H206" si="130">G207</f>
        <v>227055</v>
      </c>
      <c r="H206" s="232">
        <f t="shared" si="130"/>
        <v>0</v>
      </c>
      <c r="I206" s="232">
        <f t="shared" ref="I206:T206" si="131">I207</f>
        <v>0</v>
      </c>
      <c r="J206" s="232">
        <f t="shared" si="131"/>
        <v>0</v>
      </c>
      <c r="K206" s="232">
        <f t="shared" si="131"/>
        <v>0</v>
      </c>
      <c r="L206" s="232">
        <f t="shared" si="131"/>
        <v>0</v>
      </c>
      <c r="M206" s="232">
        <f t="shared" si="131"/>
        <v>0</v>
      </c>
      <c r="N206" s="232">
        <f t="shared" si="131"/>
        <v>0</v>
      </c>
      <c r="O206" s="232">
        <f t="shared" si="131"/>
        <v>0</v>
      </c>
      <c r="P206" s="232">
        <f t="shared" si="131"/>
        <v>0</v>
      </c>
      <c r="Q206" s="232">
        <f t="shared" si="131"/>
        <v>0</v>
      </c>
      <c r="R206" s="232">
        <f t="shared" si="131"/>
        <v>0</v>
      </c>
      <c r="S206" s="232">
        <f t="shared" si="131"/>
        <v>227055</v>
      </c>
      <c r="T206" s="232">
        <f t="shared" si="131"/>
        <v>0</v>
      </c>
      <c r="U206" s="233" t="s">
        <v>31</v>
      </c>
      <c r="V206" s="234">
        <f>V207</f>
        <v>-227055</v>
      </c>
      <c r="AA206" s="276"/>
    </row>
    <row r="207" spans="1:30" ht="13.9" customHeight="1" x14ac:dyDescent="0.2">
      <c r="A207" s="236">
        <v>26</v>
      </c>
      <c r="B207" s="236" t="s">
        <v>26</v>
      </c>
      <c r="C207" s="236"/>
      <c r="D207" s="236"/>
      <c r="E207" s="236"/>
      <c r="F207" s="237" t="s">
        <v>395</v>
      </c>
      <c r="G207" s="239">
        <f t="shared" ref="G207:S207" si="132">+G208</f>
        <v>227055</v>
      </c>
      <c r="H207" s="239">
        <f>+H208</f>
        <v>0</v>
      </c>
      <c r="I207" s="239">
        <f t="shared" si="132"/>
        <v>0</v>
      </c>
      <c r="J207" s="239">
        <f>J208</f>
        <v>0</v>
      </c>
      <c r="K207" s="239">
        <f t="shared" si="132"/>
        <v>0</v>
      </c>
      <c r="L207" s="239">
        <f t="shared" si="132"/>
        <v>0</v>
      </c>
      <c r="M207" s="239">
        <f t="shared" si="132"/>
        <v>0</v>
      </c>
      <c r="N207" s="239">
        <f t="shared" si="132"/>
        <v>0</v>
      </c>
      <c r="O207" s="239">
        <f t="shared" si="132"/>
        <v>0</v>
      </c>
      <c r="P207" s="239">
        <f t="shared" si="132"/>
        <v>0</v>
      </c>
      <c r="Q207" s="239">
        <f t="shared" si="132"/>
        <v>0</v>
      </c>
      <c r="R207" s="239">
        <f t="shared" si="132"/>
        <v>0</v>
      </c>
      <c r="S207" s="239">
        <f t="shared" si="132"/>
        <v>227055</v>
      </c>
      <c r="T207" s="244">
        <f>T208</f>
        <v>0</v>
      </c>
      <c r="U207" s="245" t="s">
        <v>31</v>
      </c>
      <c r="V207" s="246">
        <f>V208</f>
        <v>-227055</v>
      </c>
      <c r="AA207" s="276"/>
    </row>
    <row r="208" spans="1:30" ht="13.9" customHeight="1" x14ac:dyDescent="0.2">
      <c r="A208" s="181">
        <v>26</v>
      </c>
      <c r="B208" s="2" t="s">
        <v>26</v>
      </c>
      <c r="C208" s="2" t="s">
        <v>28</v>
      </c>
      <c r="D208" s="181"/>
      <c r="E208" s="181"/>
      <c r="F208" s="182" t="s">
        <v>395</v>
      </c>
      <c r="G208" s="92">
        <v>227055</v>
      </c>
      <c r="H208" s="77">
        <v>0</v>
      </c>
      <c r="I208" s="34">
        <v>0</v>
      </c>
      <c r="J208" s="168">
        <v>0</v>
      </c>
      <c r="K208" s="168"/>
      <c r="L208" s="34"/>
      <c r="M208" s="168"/>
      <c r="N208" s="34"/>
      <c r="O208" s="33"/>
      <c r="P208" s="34"/>
      <c r="Q208" s="34"/>
      <c r="R208" s="34"/>
      <c r="S208" s="168">
        <f>SUM(G208:R208)</f>
        <v>227055</v>
      </c>
      <c r="T208" s="138">
        <v>0</v>
      </c>
      <c r="U208" s="51" t="s">
        <v>31</v>
      </c>
      <c r="V208" s="90">
        <f>T208-S208</f>
        <v>-227055</v>
      </c>
      <c r="AA208" s="276"/>
    </row>
    <row r="209" spans="1:27" ht="13.9" customHeight="1" thickBot="1" x14ac:dyDescent="0.25">
      <c r="A209" s="169"/>
      <c r="B209" s="170"/>
      <c r="C209" s="170"/>
      <c r="D209" s="170"/>
      <c r="E209" s="170"/>
      <c r="F209" s="170"/>
      <c r="G209" s="171"/>
      <c r="H209" s="171"/>
      <c r="I209" s="171"/>
      <c r="J209" s="171"/>
      <c r="K209" s="171"/>
      <c r="L209" s="171"/>
      <c r="M209" s="171"/>
      <c r="N209" s="171"/>
      <c r="O209" s="171"/>
      <c r="P209" s="171"/>
      <c r="Q209" s="171"/>
      <c r="R209" s="171"/>
      <c r="S209" s="171"/>
      <c r="T209" s="89"/>
      <c r="U209" s="36"/>
      <c r="V209" s="172"/>
      <c r="AA209" s="276"/>
    </row>
    <row r="210" spans="1:27" ht="24.75" customHeight="1" x14ac:dyDescent="0.2">
      <c r="A210" s="229" t="s">
        <v>59</v>
      </c>
      <c r="B210" s="230" t="s">
        <v>59</v>
      </c>
      <c r="C210" s="230" t="s">
        <v>59</v>
      </c>
      <c r="D210" s="230" t="s">
        <v>59</v>
      </c>
      <c r="E210" s="230"/>
      <c r="F210" s="231" t="s">
        <v>189</v>
      </c>
      <c r="G210" s="232">
        <f t="shared" ref="G210:R210" si="133">G211+G213+G230+G232+G234+G237+G240+G243</f>
        <v>0</v>
      </c>
      <c r="H210" s="232">
        <f>H211+H213+H230+H232+H234+H237+H240+H243</f>
        <v>2733073</v>
      </c>
      <c r="I210" s="232">
        <f>I211+I213+I232+I234+I237+I240+I243+I230</f>
        <v>102883403</v>
      </c>
      <c r="J210" s="232">
        <f t="shared" si="133"/>
        <v>43406930</v>
      </c>
      <c r="K210" s="232">
        <f>K211+K213+K230+K232+K234+K237+K240+K243</f>
        <v>0</v>
      </c>
      <c r="L210" s="232">
        <f t="shared" si="133"/>
        <v>0</v>
      </c>
      <c r="M210" s="232">
        <f t="shared" si="133"/>
        <v>0</v>
      </c>
      <c r="N210" s="232">
        <f t="shared" si="133"/>
        <v>0</v>
      </c>
      <c r="O210" s="232">
        <f t="shared" si="133"/>
        <v>0</v>
      </c>
      <c r="P210" s="232">
        <f t="shared" si="133"/>
        <v>0</v>
      </c>
      <c r="Q210" s="232">
        <f t="shared" si="133"/>
        <v>0</v>
      </c>
      <c r="R210" s="232">
        <f t="shared" si="133"/>
        <v>0</v>
      </c>
      <c r="S210" s="232">
        <f>S211+S213+S230+S232+S234+S237+S240+S243</f>
        <v>149023406</v>
      </c>
      <c r="T210" s="232">
        <f>T211+T213+T230+T232+T234+T237+T240+T243</f>
        <v>1732355000</v>
      </c>
      <c r="U210" s="233">
        <f>+S210/T210</f>
        <v>8.6023595625607921E-2</v>
      </c>
      <c r="V210" s="234">
        <f>V211+V213+V230+V232+V234+V237+V240+V243</f>
        <v>1583331594</v>
      </c>
      <c r="AA210" s="276"/>
    </row>
    <row r="211" spans="1:27" ht="16.5" customHeight="1" x14ac:dyDescent="0.2">
      <c r="A211" s="236">
        <v>29</v>
      </c>
      <c r="B211" s="247" t="s">
        <v>26</v>
      </c>
      <c r="C211" s="248" t="s">
        <v>59</v>
      </c>
      <c r="D211" s="248" t="s">
        <v>59</v>
      </c>
      <c r="E211" s="248"/>
      <c r="F211" s="239" t="s">
        <v>190</v>
      </c>
      <c r="G211" s="239">
        <v>0</v>
      </c>
      <c r="H211" s="239">
        <v>0</v>
      </c>
      <c r="I211" s="239">
        <v>0</v>
      </c>
      <c r="J211" s="239">
        <v>0</v>
      </c>
      <c r="K211" s="239"/>
      <c r="L211" s="239"/>
      <c r="M211" s="239"/>
      <c r="N211" s="239"/>
      <c r="O211" s="239"/>
      <c r="P211" s="239"/>
      <c r="Q211" s="239"/>
      <c r="R211" s="239"/>
      <c r="S211" s="239">
        <f>SUM(G211:R211)</f>
        <v>0</v>
      </c>
      <c r="T211" s="244">
        <v>0</v>
      </c>
      <c r="U211" s="242" t="s">
        <v>31</v>
      </c>
      <c r="V211" s="246">
        <v>0</v>
      </c>
      <c r="AA211" s="276"/>
    </row>
    <row r="212" spans="1:27" ht="13.9" customHeight="1" x14ac:dyDescent="0.2">
      <c r="A212" s="57"/>
      <c r="B212" s="58"/>
      <c r="C212" s="235"/>
      <c r="D212" s="235"/>
      <c r="E212" s="235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134"/>
      <c r="U212" s="51"/>
      <c r="V212" s="48"/>
      <c r="AA212" s="276"/>
    </row>
    <row r="213" spans="1:27" ht="17.25" customHeight="1" x14ac:dyDescent="0.2">
      <c r="A213" s="236">
        <v>29</v>
      </c>
      <c r="B213" s="247" t="s">
        <v>34</v>
      </c>
      <c r="C213" s="248" t="s">
        <v>59</v>
      </c>
      <c r="D213" s="248" t="s">
        <v>59</v>
      </c>
      <c r="E213" s="248"/>
      <c r="F213" s="239" t="s">
        <v>191</v>
      </c>
      <c r="G213" s="239">
        <f>+G214</f>
        <v>0</v>
      </c>
      <c r="H213" s="239">
        <f>+H214</f>
        <v>0</v>
      </c>
      <c r="I213" s="239">
        <f t="shared" ref="I213:R213" si="134">+I214</f>
        <v>0</v>
      </c>
      <c r="J213" s="239">
        <f t="shared" si="134"/>
        <v>0</v>
      </c>
      <c r="K213" s="239">
        <f t="shared" si="134"/>
        <v>0</v>
      </c>
      <c r="L213" s="239">
        <f t="shared" si="134"/>
        <v>0</v>
      </c>
      <c r="M213" s="239">
        <f t="shared" si="134"/>
        <v>0</v>
      </c>
      <c r="N213" s="239">
        <f t="shared" si="134"/>
        <v>0</v>
      </c>
      <c r="O213" s="239">
        <f t="shared" si="134"/>
        <v>0</v>
      </c>
      <c r="P213" s="239">
        <f t="shared" si="134"/>
        <v>0</v>
      </c>
      <c r="Q213" s="239">
        <f t="shared" si="134"/>
        <v>0</v>
      </c>
      <c r="R213" s="239">
        <f t="shared" si="134"/>
        <v>0</v>
      </c>
      <c r="S213" s="239">
        <f t="shared" ref="S213" si="135">+S214</f>
        <v>0</v>
      </c>
      <c r="T213" s="244">
        <f>+T215</f>
        <v>0</v>
      </c>
      <c r="U213" s="242" t="s">
        <v>31</v>
      </c>
      <c r="V213" s="246">
        <f>+V215</f>
        <v>0</v>
      </c>
      <c r="AA213" s="276"/>
    </row>
    <row r="214" spans="1:27" ht="13.9" customHeight="1" x14ac:dyDescent="0.2">
      <c r="A214" s="2" t="s">
        <v>59</v>
      </c>
      <c r="B214" s="2" t="s">
        <v>59</v>
      </c>
      <c r="C214" s="4" t="s">
        <v>59</v>
      </c>
      <c r="D214" s="183" t="s">
        <v>59</v>
      </c>
      <c r="E214" s="183"/>
      <c r="F214" s="166" t="s">
        <v>192</v>
      </c>
      <c r="G214" s="168">
        <v>0</v>
      </c>
      <c r="H214" s="210">
        <v>0</v>
      </c>
      <c r="I214" s="168">
        <v>0</v>
      </c>
      <c r="J214" s="212"/>
      <c r="K214" s="168"/>
      <c r="L214" s="168"/>
      <c r="M214" s="168"/>
      <c r="N214" s="168"/>
      <c r="O214" s="168"/>
      <c r="P214" s="168"/>
      <c r="Q214" s="168"/>
      <c r="R214" s="168"/>
      <c r="S214" s="168">
        <f t="shared" ref="S214:S227" si="136">SUM(G214:R214)</f>
        <v>0</v>
      </c>
      <c r="T214" s="138">
        <v>0</v>
      </c>
      <c r="U214" s="51" t="s">
        <v>31</v>
      </c>
      <c r="V214" s="163">
        <f>+T214-S214</f>
        <v>0</v>
      </c>
      <c r="AA214" s="276"/>
    </row>
    <row r="215" spans="1:27" ht="15" customHeight="1" x14ac:dyDescent="0.2">
      <c r="A215" s="2" t="s">
        <v>59</v>
      </c>
      <c r="B215" s="2" t="s">
        <v>59</v>
      </c>
      <c r="C215" s="4" t="s">
        <v>399</v>
      </c>
      <c r="D215" s="183" t="s">
        <v>59</v>
      </c>
      <c r="E215" s="183"/>
      <c r="F215" s="166" t="s">
        <v>398</v>
      </c>
      <c r="G215" s="168">
        <v>0</v>
      </c>
      <c r="H215" s="210">
        <v>0</v>
      </c>
      <c r="I215" s="168">
        <v>0</v>
      </c>
      <c r="J215" s="212"/>
      <c r="K215" s="168"/>
      <c r="L215" s="168"/>
      <c r="M215" s="168"/>
      <c r="N215" s="168"/>
      <c r="O215" s="168"/>
      <c r="P215" s="168"/>
      <c r="Q215" s="168"/>
      <c r="R215" s="168"/>
      <c r="S215" s="168">
        <f t="shared" si="136"/>
        <v>0</v>
      </c>
      <c r="T215" s="138">
        <v>0</v>
      </c>
      <c r="U215" s="51" t="s">
        <v>31</v>
      </c>
      <c r="V215" s="163">
        <f>+T215-S215</f>
        <v>0</v>
      </c>
      <c r="AA215" s="276"/>
    </row>
    <row r="216" spans="1:27" ht="15.75" customHeight="1" x14ac:dyDescent="0.2">
      <c r="A216" s="2" t="s">
        <v>59</v>
      </c>
      <c r="B216" s="2" t="s">
        <v>59</v>
      </c>
      <c r="C216" s="4" t="s">
        <v>32</v>
      </c>
      <c r="D216" s="183" t="s">
        <v>59</v>
      </c>
      <c r="E216" s="183"/>
      <c r="F216" s="166" t="s">
        <v>193</v>
      </c>
      <c r="G216" s="168">
        <v>0</v>
      </c>
      <c r="H216" s="210">
        <v>0</v>
      </c>
      <c r="I216" s="168">
        <v>0</v>
      </c>
      <c r="J216" s="212"/>
      <c r="K216" s="168"/>
      <c r="L216" s="168"/>
      <c r="M216" s="168"/>
      <c r="N216" s="168"/>
      <c r="O216" s="168"/>
      <c r="P216" s="168"/>
      <c r="Q216" s="168"/>
      <c r="R216" s="168"/>
      <c r="S216" s="168">
        <f t="shared" si="136"/>
        <v>0</v>
      </c>
      <c r="T216" s="134">
        <v>0</v>
      </c>
      <c r="U216" s="51" t="s">
        <v>31</v>
      </c>
      <c r="V216" s="163">
        <v>0</v>
      </c>
      <c r="AA216" s="276"/>
    </row>
    <row r="217" spans="1:27" ht="15.75" customHeight="1" x14ac:dyDescent="0.2">
      <c r="A217" s="2" t="s">
        <v>59</v>
      </c>
      <c r="B217" s="2" t="s">
        <v>59</v>
      </c>
      <c r="C217" s="4" t="s">
        <v>63</v>
      </c>
      <c r="D217" s="183" t="s">
        <v>59</v>
      </c>
      <c r="E217" s="183"/>
      <c r="F217" s="166" t="s">
        <v>194</v>
      </c>
      <c r="G217" s="168">
        <v>0</v>
      </c>
      <c r="H217" s="210">
        <v>0</v>
      </c>
      <c r="I217" s="168">
        <v>0</v>
      </c>
      <c r="J217" s="212"/>
      <c r="K217" s="168"/>
      <c r="L217" s="168"/>
      <c r="M217" s="168"/>
      <c r="N217" s="168"/>
      <c r="O217" s="168"/>
      <c r="P217" s="168"/>
      <c r="Q217" s="168"/>
      <c r="R217" s="168"/>
      <c r="S217" s="168">
        <f t="shared" si="136"/>
        <v>0</v>
      </c>
      <c r="T217" s="134">
        <v>0</v>
      </c>
      <c r="U217" s="51" t="s">
        <v>31</v>
      </c>
      <c r="V217" s="163">
        <v>0</v>
      </c>
      <c r="AA217" s="276"/>
    </row>
    <row r="218" spans="1:27" ht="15.75" customHeight="1" x14ac:dyDescent="0.2">
      <c r="A218" s="2" t="s">
        <v>59</v>
      </c>
      <c r="B218" s="2" t="s">
        <v>59</v>
      </c>
      <c r="C218" s="4" t="s">
        <v>64</v>
      </c>
      <c r="D218" s="183" t="s">
        <v>59</v>
      </c>
      <c r="E218" s="183"/>
      <c r="F218" s="166" t="s">
        <v>195</v>
      </c>
      <c r="G218" s="168">
        <v>0</v>
      </c>
      <c r="H218" s="210">
        <v>0</v>
      </c>
      <c r="I218" s="168">
        <v>0</v>
      </c>
      <c r="J218" s="212"/>
      <c r="K218" s="168"/>
      <c r="L218" s="168"/>
      <c r="M218" s="168"/>
      <c r="N218" s="168"/>
      <c r="O218" s="168"/>
      <c r="P218" s="168"/>
      <c r="Q218" s="168"/>
      <c r="R218" s="168"/>
      <c r="S218" s="168">
        <f t="shared" si="136"/>
        <v>0</v>
      </c>
      <c r="T218" s="134">
        <v>0</v>
      </c>
      <c r="U218" s="51" t="s">
        <v>31</v>
      </c>
      <c r="V218" s="163">
        <v>0</v>
      </c>
      <c r="AA218" s="276"/>
    </row>
    <row r="219" spans="1:27" ht="15.75" customHeight="1" x14ac:dyDescent="0.2">
      <c r="A219" s="2" t="s">
        <v>59</v>
      </c>
      <c r="B219" s="2" t="s">
        <v>59</v>
      </c>
      <c r="C219" s="4" t="s">
        <v>74</v>
      </c>
      <c r="D219" s="183" t="s">
        <v>59</v>
      </c>
      <c r="E219" s="183"/>
      <c r="F219" s="166" t="s">
        <v>196</v>
      </c>
      <c r="G219" s="168">
        <v>0</v>
      </c>
      <c r="H219" s="210">
        <v>0</v>
      </c>
      <c r="I219" s="168">
        <v>0</v>
      </c>
      <c r="J219" s="212"/>
      <c r="K219" s="168"/>
      <c r="L219" s="168"/>
      <c r="M219" s="168"/>
      <c r="N219" s="168"/>
      <c r="O219" s="168"/>
      <c r="P219" s="168"/>
      <c r="Q219" s="168"/>
      <c r="R219" s="168"/>
      <c r="S219" s="168">
        <f t="shared" si="136"/>
        <v>0</v>
      </c>
      <c r="T219" s="134">
        <v>0</v>
      </c>
      <c r="U219" s="51" t="s">
        <v>31</v>
      </c>
      <c r="V219" s="163">
        <v>0</v>
      </c>
      <c r="AA219" s="276"/>
    </row>
    <row r="220" spans="1:27" ht="15.75" customHeight="1" x14ac:dyDescent="0.2">
      <c r="A220" s="2" t="s">
        <v>59</v>
      </c>
      <c r="B220" s="2" t="s">
        <v>59</v>
      </c>
      <c r="C220" s="4" t="s">
        <v>76</v>
      </c>
      <c r="D220" s="183" t="s">
        <v>59</v>
      </c>
      <c r="E220" s="183"/>
      <c r="F220" s="166" t="s">
        <v>197</v>
      </c>
      <c r="G220" s="168">
        <v>0</v>
      </c>
      <c r="H220" s="210">
        <v>0</v>
      </c>
      <c r="I220" s="168">
        <v>0</v>
      </c>
      <c r="J220" s="212"/>
      <c r="K220" s="168"/>
      <c r="L220" s="168"/>
      <c r="M220" s="168"/>
      <c r="N220" s="168"/>
      <c r="O220" s="168"/>
      <c r="P220" s="168"/>
      <c r="Q220" s="168"/>
      <c r="R220" s="168"/>
      <c r="S220" s="168">
        <f t="shared" si="136"/>
        <v>0</v>
      </c>
      <c r="T220" s="134">
        <v>0</v>
      </c>
      <c r="U220" s="51" t="s">
        <v>31</v>
      </c>
      <c r="V220" s="163">
        <v>0</v>
      </c>
      <c r="AA220" s="276"/>
    </row>
    <row r="221" spans="1:27" ht="15.75" customHeight="1" x14ac:dyDescent="0.2">
      <c r="A221" s="2" t="s">
        <v>59</v>
      </c>
      <c r="B221" s="2" t="s">
        <v>59</v>
      </c>
      <c r="C221" s="4" t="s">
        <v>65</v>
      </c>
      <c r="D221" s="183" t="s">
        <v>59</v>
      </c>
      <c r="E221" s="183"/>
      <c r="F221" s="166" t="s">
        <v>198</v>
      </c>
      <c r="G221" s="168">
        <v>0</v>
      </c>
      <c r="H221" s="210">
        <v>0</v>
      </c>
      <c r="I221" s="168">
        <v>0</v>
      </c>
      <c r="J221" s="212"/>
      <c r="K221" s="168"/>
      <c r="L221" s="168"/>
      <c r="M221" s="168"/>
      <c r="N221" s="168"/>
      <c r="O221" s="168"/>
      <c r="P221" s="168"/>
      <c r="Q221" s="168"/>
      <c r="R221" s="168"/>
      <c r="S221" s="168">
        <f t="shared" si="136"/>
        <v>0</v>
      </c>
      <c r="T221" s="134">
        <v>0</v>
      </c>
      <c r="U221" s="51" t="s">
        <v>31</v>
      </c>
      <c r="V221" s="163">
        <v>0</v>
      </c>
      <c r="AA221" s="276"/>
    </row>
    <row r="222" spans="1:27" ht="15.75" customHeight="1" x14ac:dyDescent="0.2">
      <c r="A222" s="2" t="s">
        <v>59</v>
      </c>
      <c r="B222" s="2" t="s">
        <v>59</v>
      </c>
      <c r="C222" s="4" t="s">
        <v>81</v>
      </c>
      <c r="D222" s="183" t="s">
        <v>59</v>
      </c>
      <c r="E222" s="183"/>
      <c r="F222" s="166" t="s">
        <v>199</v>
      </c>
      <c r="G222" s="168">
        <v>0</v>
      </c>
      <c r="H222" s="210">
        <v>0</v>
      </c>
      <c r="I222" s="168">
        <v>0</v>
      </c>
      <c r="J222" s="212"/>
      <c r="K222" s="168"/>
      <c r="L222" s="168"/>
      <c r="M222" s="168"/>
      <c r="N222" s="168"/>
      <c r="O222" s="168"/>
      <c r="P222" s="168"/>
      <c r="Q222" s="168"/>
      <c r="R222" s="168"/>
      <c r="S222" s="168">
        <f t="shared" si="136"/>
        <v>0</v>
      </c>
      <c r="T222" s="134">
        <v>0</v>
      </c>
      <c r="U222" s="51" t="s">
        <v>31</v>
      </c>
      <c r="V222" s="163">
        <v>0</v>
      </c>
      <c r="AA222" s="276"/>
    </row>
    <row r="223" spans="1:27" ht="15.75" customHeight="1" x14ac:dyDescent="0.2">
      <c r="A223" s="2" t="s">
        <v>59</v>
      </c>
      <c r="B223" s="2" t="s">
        <v>59</v>
      </c>
      <c r="C223" s="4" t="s">
        <v>116</v>
      </c>
      <c r="D223" s="183" t="s">
        <v>59</v>
      </c>
      <c r="E223" s="183"/>
      <c r="F223" s="166" t="s">
        <v>200</v>
      </c>
      <c r="G223" s="168">
        <v>0</v>
      </c>
      <c r="H223" s="210">
        <v>0</v>
      </c>
      <c r="I223" s="168">
        <v>0</v>
      </c>
      <c r="J223" s="212"/>
      <c r="K223" s="168"/>
      <c r="L223" s="168"/>
      <c r="M223" s="168"/>
      <c r="N223" s="168"/>
      <c r="O223" s="168"/>
      <c r="P223" s="168"/>
      <c r="Q223" s="168"/>
      <c r="R223" s="168"/>
      <c r="S223" s="168">
        <f t="shared" si="136"/>
        <v>0</v>
      </c>
      <c r="T223" s="134">
        <v>0</v>
      </c>
      <c r="U223" s="51" t="s">
        <v>31</v>
      </c>
      <c r="V223" s="163">
        <v>0</v>
      </c>
      <c r="AA223" s="276"/>
    </row>
    <row r="224" spans="1:27" ht="15.75" customHeight="1" x14ac:dyDescent="0.2">
      <c r="A224" s="2" t="s">
        <v>59</v>
      </c>
      <c r="B224" s="2" t="s">
        <v>59</v>
      </c>
      <c r="C224" s="4" t="s">
        <v>66</v>
      </c>
      <c r="D224" s="183" t="s">
        <v>59</v>
      </c>
      <c r="E224" s="183"/>
      <c r="F224" s="166" t="s">
        <v>201</v>
      </c>
      <c r="G224" s="168">
        <v>0</v>
      </c>
      <c r="H224" s="210">
        <v>0</v>
      </c>
      <c r="I224" s="168">
        <v>0</v>
      </c>
      <c r="J224" s="212"/>
      <c r="K224" s="168"/>
      <c r="L224" s="168"/>
      <c r="M224" s="168"/>
      <c r="N224" s="168"/>
      <c r="O224" s="168"/>
      <c r="P224" s="168"/>
      <c r="Q224" s="168"/>
      <c r="R224" s="168"/>
      <c r="S224" s="168">
        <f t="shared" si="136"/>
        <v>0</v>
      </c>
      <c r="T224" s="134">
        <v>0</v>
      </c>
      <c r="U224" s="51" t="s">
        <v>31</v>
      </c>
      <c r="V224" s="163">
        <v>0</v>
      </c>
      <c r="AA224" s="276"/>
    </row>
    <row r="225" spans="1:27" ht="15.75" customHeight="1" x14ac:dyDescent="0.2">
      <c r="A225" s="2" t="s">
        <v>59</v>
      </c>
      <c r="B225" s="2" t="s">
        <v>59</v>
      </c>
      <c r="C225" s="4" t="s">
        <v>119</v>
      </c>
      <c r="D225" s="183" t="s">
        <v>59</v>
      </c>
      <c r="E225" s="183"/>
      <c r="F225" s="166" t="s">
        <v>202</v>
      </c>
      <c r="G225" s="168">
        <v>0</v>
      </c>
      <c r="H225" s="210">
        <v>0</v>
      </c>
      <c r="I225" s="168">
        <v>0</v>
      </c>
      <c r="J225" s="212"/>
      <c r="K225" s="168"/>
      <c r="L225" s="168"/>
      <c r="M225" s="168"/>
      <c r="N225" s="168"/>
      <c r="O225" s="168"/>
      <c r="P225" s="168"/>
      <c r="Q225" s="168"/>
      <c r="R225" s="168"/>
      <c r="S225" s="168">
        <f t="shared" si="136"/>
        <v>0</v>
      </c>
      <c r="T225" s="134">
        <v>0</v>
      </c>
      <c r="U225" s="51" t="s">
        <v>31</v>
      </c>
      <c r="V225" s="163">
        <v>0</v>
      </c>
      <c r="AA225" s="276"/>
    </row>
    <row r="226" spans="1:27" ht="15.75" customHeight="1" x14ac:dyDescent="0.2">
      <c r="A226" s="2" t="s">
        <v>59</v>
      </c>
      <c r="B226" s="2" t="s">
        <v>59</v>
      </c>
      <c r="C226" s="4" t="s">
        <v>121</v>
      </c>
      <c r="D226" s="183" t="s">
        <v>59</v>
      </c>
      <c r="E226" s="183"/>
      <c r="F226" s="166" t="s">
        <v>203</v>
      </c>
      <c r="G226" s="168">
        <v>0</v>
      </c>
      <c r="H226" s="210">
        <v>0</v>
      </c>
      <c r="I226" s="168">
        <v>0</v>
      </c>
      <c r="J226" s="212"/>
      <c r="K226" s="168"/>
      <c r="L226" s="168"/>
      <c r="M226" s="168"/>
      <c r="N226" s="168"/>
      <c r="O226" s="168"/>
      <c r="P226" s="168"/>
      <c r="Q226" s="168"/>
      <c r="R226" s="168"/>
      <c r="S226" s="168">
        <f t="shared" si="136"/>
        <v>0</v>
      </c>
      <c r="T226" s="134">
        <v>0</v>
      </c>
      <c r="U226" s="51" t="s">
        <v>31</v>
      </c>
      <c r="V226" s="163">
        <v>0</v>
      </c>
      <c r="AA226" s="276"/>
    </row>
    <row r="227" spans="1:27" ht="15.75" customHeight="1" x14ac:dyDescent="0.2">
      <c r="A227" s="2" t="s">
        <v>59</v>
      </c>
      <c r="B227" s="2" t="s">
        <v>59</v>
      </c>
      <c r="C227" s="4" t="s">
        <v>204</v>
      </c>
      <c r="D227" s="183" t="s">
        <v>59</v>
      </c>
      <c r="E227" s="183"/>
      <c r="F227" s="166" t="s">
        <v>205</v>
      </c>
      <c r="G227" s="168">
        <v>0</v>
      </c>
      <c r="H227" s="210">
        <v>0</v>
      </c>
      <c r="I227" s="168">
        <v>0</v>
      </c>
      <c r="J227" s="212"/>
      <c r="K227" s="168"/>
      <c r="L227" s="168"/>
      <c r="M227" s="168"/>
      <c r="N227" s="168"/>
      <c r="O227" s="168"/>
      <c r="P227" s="168"/>
      <c r="Q227" s="168"/>
      <c r="R227" s="168"/>
      <c r="S227" s="168">
        <f t="shared" si="136"/>
        <v>0</v>
      </c>
      <c r="T227" s="134">
        <v>0</v>
      </c>
      <c r="U227" s="51" t="s">
        <v>31</v>
      </c>
      <c r="V227" s="163">
        <v>0</v>
      </c>
      <c r="AA227" s="276"/>
    </row>
    <row r="228" spans="1:27" ht="15.75" customHeight="1" x14ac:dyDescent="0.2">
      <c r="A228" s="2"/>
      <c r="B228" s="2"/>
      <c r="C228" s="4"/>
      <c r="D228" s="183"/>
      <c r="E228" s="183"/>
      <c r="F228" s="166"/>
      <c r="G228" s="168"/>
      <c r="H228" s="210"/>
      <c r="I228" s="168"/>
      <c r="J228" s="212"/>
      <c r="K228" s="168"/>
      <c r="L228" s="168"/>
      <c r="M228" s="168"/>
      <c r="N228" s="168"/>
      <c r="O228" s="168"/>
      <c r="P228" s="168"/>
      <c r="Q228" s="168"/>
      <c r="R228" s="168"/>
      <c r="S228" s="168"/>
      <c r="T228" s="134"/>
      <c r="U228" s="51"/>
      <c r="V228" s="163"/>
      <c r="AA228" s="276"/>
    </row>
    <row r="229" spans="1:27" ht="15.75" customHeight="1" x14ac:dyDescent="0.2">
      <c r="A229" s="2"/>
      <c r="B229" s="2"/>
      <c r="C229" s="4"/>
      <c r="D229" s="183"/>
      <c r="E229" s="183"/>
      <c r="F229" s="166"/>
      <c r="G229" s="168"/>
      <c r="H229" s="210"/>
      <c r="I229" s="168"/>
      <c r="J229" s="212"/>
      <c r="K229" s="168"/>
      <c r="L229" s="168"/>
      <c r="M229" s="168"/>
      <c r="N229" s="168"/>
      <c r="O229" s="168"/>
      <c r="P229" s="168"/>
      <c r="Q229" s="168"/>
      <c r="R229" s="168"/>
      <c r="S229" s="168"/>
      <c r="T229" s="134"/>
      <c r="U229" s="51"/>
      <c r="V229" s="163"/>
      <c r="AA229" s="276"/>
    </row>
    <row r="230" spans="1:27" ht="18.75" customHeight="1" x14ac:dyDescent="0.2">
      <c r="A230" s="236">
        <v>29</v>
      </c>
      <c r="B230" s="247" t="s">
        <v>44</v>
      </c>
      <c r="C230" s="248" t="s">
        <v>28</v>
      </c>
      <c r="D230" s="248" t="s">
        <v>59</v>
      </c>
      <c r="E230" s="248"/>
      <c r="F230" s="239" t="s">
        <v>206</v>
      </c>
      <c r="G230" s="239">
        <v>0</v>
      </c>
      <c r="H230" s="239">
        <v>0</v>
      </c>
      <c r="I230" s="239">
        <v>95382000</v>
      </c>
      <c r="J230" s="239">
        <v>0</v>
      </c>
      <c r="K230" s="239"/>
      <c r="L230" s="239"/>
      <c r="M230" s="239"/>
      <c r="N230" s="239"/>
      <c r="O230" s="239"/>
      <c r="P230" s="239"/>
      <c r="Q230" s="239"/>
      <c r="R230" s="239"/>
      <c r="S230" s="239">
        <f>SUM(G230:R230)</f>
        <v>95382000</v>
      </c>
      <c r="T230" s="244">
        <v>103100000</v>
      </c>
      <c r="U230" s="242">
        <f>+S230/T230</f>
        <v>0.92514064015518915</v>
      </c>
      <c r="V230" s="246">
        <f>+T230-S230</f>
        <v>7718000</v>
      </c>
      <c r="AA230" s="276"/>
    </row>
    <row r="231" spans="1:27" x14ac:dyDescent="0.2">
      <c r="A231" s="57"/>
      <c r="B231" s="58"/>
      <c r="C231" s="235"/>
      <c r="D231" s="235"/>
      <c r="E231" s="235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134"/>
      <c r="U231" s="51"/>
      <c r="V231" s="48"/>
      <c r="AA231" s="276"/>
    </row>
    <row r="232" spans="1:27" ht="19.5" customHeight="1" x14ac:dyDescent="0.2">
      <c r="A232" s="236">
        <v>29</v>
      </c>
      <c r="B232" s="247" t="s">
        <v>46</v>
      </c>
      <c r="C232" s="248" t="s">
        <v>28</v>
      </c>
      <c r="D232" s="248" t="s">
        <v>59</v>
      </c>
      <c r="E232" s="248"/>
      <c r="F232" s="239" t="s">
        <v>207</v>
      </c>
      <c r="G232" s="239">
        <v>0</v>
      </c>
      <c r="H232" s="239">
        <v>1023638</v>
      </c>
      <c r="I232" s="239">
        <v>1701930</v>
      </c>
      <c r="J232" s="239">
        <v>10629955</v>
      </c>
      <c r="K232" s="239"/>
      <c r="L232" s="239"/>
      <c r="M232" s="239"/>
      <c r="N232" s="239"/>
      <c r="O232" s="239"/>
      <c r="P232" s="239"/>
      <c r="Q232" s="239"/>
      <c r="R232" s="239"/>
      <c r="S232" s="239">
        <f>SUM(G232:R232)</f>
        <v>13355523</v>
      </c>
      <c r="T232" s="244">
        <v>105889000</v>
      </c>
      <c r="U232" s="242">
        <f>+S232/T232</f>
        <v>0.12612757699100002</v>
      </c>
      <c r="V232" s="246">
        <f>+T232-S232</f>
        <v>92533477</v>
      </c>
      <c r="AA232" s="276"/>
    </row>
    <row r="233" spans="1:27" ht="13.9" customHeight="1" x14ac:dyDescent="0.2">
      <c r="A233" s="57"/>
      <c r="B233" s="58"/>
      <c r="C233" s="235"/>
      <c r="D233" s="235"/>
      <c r="E233" s="235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134"/>
      <c r="U233" s="51"/>
      <c r="V233" s="48"/>
      <c r="AA233" s="276"/>
    </row>
    <row r="234" spans="1:27" ht="15.75" customHeight="1" x14ac:dyDescent="0.2">
      <c r="A234" s="236">
        <v>29</v>
      </c>
      <c r="B234" s="247" t="s">
        <v>48</v>
      </c>
      <c r="C234" s="248" t="s">
        <v>59</v>
      </c>
      <c r="D234" s="248" t="s">
        <v>59</v>
      </c>
      <c r="E234" s="248"/>
      <c r="F234" s="239" t="s">
        <v>208</v>
      </c>
      <c r="G234" s="239">
        <f t="shared" ref="G234:T234" si="137">G235+G236</f>
        <v>0</v>
      </c>
      <c r="H234" s="239">
        <f>H235+H236</f>
        <v>1709435</v>
      </c>
      <c r="I234" s="239">
        <f t="shared" ref="I234" si="138">I235+I236</f>
        <v>3736985</v>
      </c>
      <c r="J234" s="239">
        <f t="shared" ref="J234:R234" si="139">J235+J236</f>
        <v>31838490</v>
      </c>
      <c r="K234" s="239">
        <f t="shared" si="139"/>
        <v>0</v>
      </c>
      <c r="L234" s="239">
        <f t="shared" si="139"/>
        <v>0</v>
      </c>
      <c r="M234" s="239">
        <f t="shared" si="139"/>
        <v>0</v>
      </c>
      <c r="N234" s="239">
        <f t="shared" si="139"/>
        <v>0</v>
      </c>
      <c r="O234" s="239">
        <f t="shared" si="139"/>
        <v>0</v>
      </c>
      <c r="P234" s="239">
        <f t="shared" si="139"/>
        <v>0</v>
      </c>
      <c r="Q234" s="239">
        <f t="shared" si="139"/>
        <v>0</v>
      </c>
      <c r="R234" s="239">
        <f t="shared" si="139"/>
        <v>0</v>
      </c>
      <c r="S234" s="239">
        <f>S235+S236</f>
        <v>37284910</v>
      </c>
      <c r="T234" s="244">
        <f t="shared" si="137"/>
        <v>1024368000</v>
      </c>
      <c r="U234" s="242">
        <f>+S234/T234</f>
        <v>3.639796440341752E-2</v>
      </c>
      <c r="V234" s="246">
        <f>V235+V236</f>
        <v>987083090</v>
      </c>
      <c r="AA234" s="276"/>
    </row>
    <row r="235" spans="1:27" x14ac:dyDescent="0.2">
      <c r="A235" s="2" t="s">
        <v>59</v>
      </c>
      <c r="B235" s="2" t="s">
        <v>59</v>
      </c>
      <c r="C235" s="4" t="s">
        <v>28</v>
      </c>
      <c r="D235" s="166" t="s">
        <v>59</v>
      </c>
      <c r="E235" s="166"/>
      <c r="F235" s="166" t="s">
        <v>209</v>
      </c>
      <c r="G235" s="33">
        <v>0</v>
      </c>
      <c r="H235" s="211">
        <v>1709435</v>
      </c>
      <c r="I235" s="53">
        <v>3736985</v>
      </c>
      <c r="J235" s="95">
        <v>31838490</v>
      </c>
      <c r="K235" s="33"/>
      <c r="L235" s="33"/>
      <c r="M235" s="33"/>
      <c r="N235" s="33"/>
      <c r="O235" s="33"/>
      <c r="P235" s="33"/>
      <c r="Q235" s="33"/>
      <c r="R235" s="33"/>
      <c r="S235" s="33">
        <f>SUM(G235:R235)</f>
        <v>37284910</v>
      </c>
      <c r="T235" s="33">
        <v>1024368000</v>
      </c>
      <c r="U235" s="51">
        <f>+S235/T235</f>
        <v>3.639796440341752E-2</v>
      </c>
      <c r="V235" s="163">
        <f>+T235-S235</f>
        <v>987083090</v>
      </c>
      <c r="AA235" s="276"/>
    </row>
    <row r="236" spans="1:27" ht="13.9" customHeight="1" x14ac:dyDescent="0.2">
      <c r="A236" s="2" t="s">
        <v>59</v>
      </c>
      <c r="B236" s="2" t="s">
        <v>59</v>
      </c>
      <c r="C236" s="2">
        <v>999</v>
      </c>
      <c r="D236" s="166" t="s">
        <v>59</v>
      </c>
      <c r="E236" s="166"/>
      <c r="F236" s="166" t="s">
        <v>123</v>
      </c>
      <c r="G236" s="168">
        <v>0</v>
      </c>
      <c r="H236" s="210">
        <v>0</v>
      </c>
      <c r="I236" s="168">
        <v>0</v>
      </c>
      <c r="J236" s="212">
        <v>0</v>
      </c>
      <c r="K236" s="168"/>
      <c r="L236" s="168"/>
      <c r="M236" s="168"/>
      <c r="N236" s="168"/>
      <c r="O236" s="168"/>
      <c r="P236" s="168"/>
      <c r="Q236" s="168"/>
      <c r="R236" s="168"/>
      <c r="S236" s="168">
        <f>SUM(G236:R236)</f>
        <v>0</v>
      </c>
      <c r="T236" s="138">
        <v>0</v>
      </c>
      <c r="U236" s="51" t="s">
        <v>31</v>
      </c>
      <c r="V236" s="163">
        <f>+T236-S236</f>
        <v>0</v>
      </c>
      <c r="AA236" s="276"/>
    </row>
    <row r="237" spans="1:27" ht="19.5" customHeight="1" x14ac:dyDescent="0.2">
      <c r="A237" s="236">
        <v>29</v>
      </c>
      <c r="B237" s="247" t="s">
        <v>50</v>
      </c>
      <c r="C237" s="248" t="s">
        <v>59</v>
      </c>
      <c r="D237" s="248" t="s">
        <v>59</v>
      </c>
      <c r="E237" s="248"/>
      <c r="F237" s="239" t="s">
        <v>51</v>
      </c>
      <c r="G237" s="239">
        <f t="shared" ref="G237:T237" si="140">G238+G239</f>
        <v>0</v>
      </c>
      <c r="H237" s="239">
        <f t="shared" ref="H237:I237" si="141">H238+H239</f>
        <v>0</v>
      </c>
      <c r="I237" s="239">
        <f t="shared" si="141"/>
        <v>2062488</v>
      </c>
      <c r="J237" s="239">
        <f t="shared" ref="J237:R237" si="142">J238+J239</f>
        <v>938485</v>
      </c>
      <c r="K237" s="239">
        <f t="shared" si="142"/>
        <v>0</v>
      </c>
      <c r="L237" s="239">
        <f t="shared" si="142"/>
        <v>0</v>
      </c>
      <c r="M237" s="239">
        <f t="shared" si="142"/>
        <v>0</v>
      </c>
      <c r="N237" s="239">
        <f t="shared" si="142"/>
        <v>0</v>
      </c>
      <c r="O237" s="239">
        <f t="shared" si="142"/>
        <v>0</v>
      </c>
      <c r="P237" s="239">
        <f>P238+P239</f>
        <v>0</v>
      </c>
      <c r="Q237" s="239">
        <f t="shared" si="142"/>
        <v>0</v>
      </c>
      <c r="R237" s="239">
        <f t="shared" si="142"/>
        <v>0</v>
      </c>
      <c r="S237" s="239">
        <f t="shared" si="140"/>
        <v>3000973</v>
      </c>
      <c r="T237" s="244">
        <f t="shared" si="140"/>
        <v>413549000</v>
      </c>
      <c r="U237" s="242">
        <f t="shared" ref="U237:U241" si="143">+S237/T237</f>
        <v>7.2566322249600409E-3</v>
      </c>
      <c r="V237" s="246">
        <f>V238+V239</f>
        <v>410548027</v>
      </c>
      <c r="AA237" s="276"/>
    </row>
    <row r="238" spans="1:27" x14ac:dyDescent="0.2">
      <c r="A238" s="2" t="s">
        <v>59</v>
      </c>
      <c r="B238" s="2" t="s">
        <v>59</v>
      </c>
      <c r="C238" s="4" t="s">
        <v>28</v>
      </c>
      <c r="D238" s="166" t="s">
        <v>59</v>
      </c>
      <c r="E238" s="166"/>
      <c r="F238" s="166" t="s">
        <v>210</v>
      </c>
      <c r="G238" s="168">
        <v>0</v>
      </c>
      <c r="H238" s="210">
        <v>0</v>
      </c>
      <c r="I238" s="168">
        <v>1776888</v>
      </c>
      <c r="J238" s="212">
        <v>870723</v>
      </c>
      <c r="K238" s="168"/>
      <c r="L238" s="168"/>
      <c r="M238" s="168"/>
      <c r="N238" s="168"/>
      <c r="O238" s="168"/>
      <c r="P238" s="168"/>
      <c r="Q238" s="168"/>
      <c r="R238" s="168"/>
      <c r="S238" s="168">
        <f>SUM(G238:R238)</f>
        <v>2647611</v>
      </c>
      <c r="T238" s="33">
        <v>413195638</v>
      </c>
      <c r="U238" s="51">
        <f t="shared" si="143"/>
        <v>6.4076450874827485E-3</v>
      </c>
      <c r="V238" s="163">
        <f>+T238-S238</f>
        <v>410548027</v>
      </c>
      <c r="AA238" s="276"/>
    </row>
    <row r="239" spans="1:27" x14ac:dyDescent="0.2">
      <c r="A239" s="2" t="s">
        <v>59</v>
      </c>
      <c r="B239" s="2" t="s">
        <v>59</v>
      </c>
      <c r="C239" s="4" t="s">
        <v>32</v>
      </c>
      <c r="D239" s="166" t="s">
        <v>59</v>
      </c>
      <c r="E239" s="166"/>
      <c r="F239" s="166" t="s">
        <v>211</v>
      </c>
      <c r="G239" s="168">
        <v>0</v>
      </c>
      <c r="H239" s="210">
        <v>0</v>
      </c>
      <c r="I239" s="168">
        <v>285600</v>
      </c>
      <c r="J239" s="212">
        <v>67762</v>
      </c>
      <c r="K239" s="168"/>
      <c r="L239" s="168"/>
      <c r="M239" s="168"/>
      <c r="N239" s="168"/>
      <c r="O239" s="168"/>
      <c r="P239" s="168"/>
      <c r="Q239" s="168"/>
      <c r="R239" s="168"/>
      <c r="S239" s="168">
        <f>SUM(G239:R239)</f>
        <v>353362</v>
      </c>
      <c r="T239" s="33">
        <v>353362</v>
      </c>
      <c r="U239" s="51">
        <f t="shared" si="143"/>
        <v>1</v>
      </c>
      <c r="V239" s="163">
        <f>+T239-S239</f>
        <v>0</v>
      </c>
      <c r="AA239" s="276"/>
    </row>
    <row r="240" spans="1:27" ht="15.75" customHeight="1" x14ac:dyDescent="0.2">
      <c r="A240" s="236">
        <v>29</v>
      </c>
      <c r="B240" s="247" t="s">
        <v>140</v>
      </c>
      <c r="C240" s="248" t="s">
        <v>59</v>
      </c>
      <c r="D240" s="248" t="s">
        <v>59</v>
      </c>
      <c r="E240" s="248"/>
      <c r="F240" s="239" t="s">
        <v>212</v>
      </c>
      <c r="G240" s="239">
        <f t="shared" ref="G240:T240" si="144">G241+G242</f>
        <v>0</v>
      </c>
      <c r="H240" s="239">
        <f>H241+H242</f>
        <v>0</v>
      </c>
      <c r="I240" s="239">
        <f t="shared" ref="I240" si="145">I241+I242</f>
        <v>0</v>
      </c>
      <c r="J240" s="239">
        <f t="shared" ref="J240:R240" si="146">J241+J242</f>
        <v>0</v>
      </c>
      <c r="K240" s="239">
        <f>K241+K242</f>
        <v>0</v>
      </c>
      <c r="L240" s="239">
        <f t="shared" si="146"/>
        <v>0</v>
      </c>
      <c r="M240" s="239">
        <f t="shared" si="146"/>
        <v>0</v>
      </c>
      <c r="N240" s="239">
        <f t="shared" si="146"/>
        <v>0</v>
      </c>
      <c r="O240" s="239">
        <f t="shared" si="146"/>
        <v>0</v>
      </c>
      <c r="P240" s="239">
        <f t="shared" si="146"/>
        <v>0</v>
      </c>
      <c r="Q240" s="239">
        <f t="shared" si="146"/>
        <v>0</v>
      </c>
      <c r="R240" s="239">
        <f t="shared" si="146"/>
        <v>0</v>
      </c>
      <c r="S240" s="239">
        <f t="shared" si="144"/>
        <v>0</v>
      </c>
      <c r="T240" s="244">
        <f t="shared" si="144"/>
        <v>85449000</v>
      </c>
      <c r="U240" s="242">
        <f t="shared" si="143"/>
        <v>0</v>
      </c>
      <c r="V240" s="246">
        <f>V241+V242</f>
        <v>85449000</v>
      </c>
      <c r="AA240" s="276"/>
    </row>
    <row r="241" spans="1:27" ht="14.45" customHeight="1" x14ac:dyDescent="0.2">
      <c r="A241" s="2" t="s">
        <v>59</v>
      </c>
      <c r="B241" s="2" t="s">
        <v>59</v>
      </c>
      <c r="C241" s="4" t="s">
        <v>28</v>
      </c>
      <c r="D241" s="166" t="s">
        <v>59</v>
      </c>
      <c r="E241" s="166"/>
      <c r="F241" s="166" t="s">
        <v>213</v>
      </c>
      <c r="G241" s="168">
        <v>0</v>
      </c>
      <c r="H241" s="210">
        <v>0</v>
      </c>
      <c r="I241" s="168">
        <v>0</v>
      </c>
      <c r="J241" s="212">
        <v>0</v>
      </c>
      <c r="K241" s="168"/>
      <c r="L241" s="168"/>
      <c r="M241" s="168"/>
      <c r="N241" s="168"/>
      <c r="O241" s="168"/>
      <c r="P241" s="168"/>
      <c r="Q241" s="168"/>
      <c r="R241" s="168"/>
      <c r="S241" s="168">
        <f>SUM(G241:R241)</f>
        <v>0</v>
      </c>
      <c r="T241" s="33">
        <v>85449000</v>
      </c>
      <c r="U241" s="51">
        <f t="shared" si="143"/>
        <v>0</v>
      </c>
      <c r="V241" s="163">
        <f>+T241-S241</f>
        <v>85449000</v>
      </c>
      <c r="AA241" s="276"/>
    </row>
    <row r="242" spans="1:27" x14ac:dyDescent="0.2">
      <c r="A242" s="2" t="s">
        <v>59</v>
      </c>
      <c r="B242" s="2" t="s">
        <v>59</v>
      </c>
      <c r="C242" s="4" t="s">
        <v>32</v>
      </c>
      <c r="D242" s="166" t="s">
        <v>59</v>
      </c>
      <c r="E242" s="166"/>
      <c r="F242" s="166" t="s">
        <v>214</v>
      </c>
      <c r="G242" s="168">
        <v>0</v>
      </c>
      <c r="H242" s="210">
        <v>0</v>
      </c>
      <c r="I242" s="168">
        <v>0</v>
      </c>
      <c r="J242" s="212">
        <v>0</v>
      </c>
      <c r="K242" s="168"/>
      <c r="L242" s="168"/>
      <c r="M242" s="168"/>
      <c r="N242" s="168"/>
      <c r="O242" s="168"/>
      <c r="P242" s="168"/>
      <c r="Q242" s="168"/>
      <c r="R242" s="168"/>
      <c r="S242" s="168">
        <f>SUM(G242:R242)</f>
        <v>0</v>
      </c>
      <c r="T242" s="33">
        <v>0</v>
      </c>
      <c r="U242" s="51" t="s">
        <v>31</v>
      </c>
      <c r="V242" s="163">
        <f>+T242-S242</f>
        <v>0</v>
      </c>
      <c r="AA242" s="276"/>
    </row>
    <row r="243" spans="1:27" ht="16.5" customHeight="1" x14ac:dyDescent="0.2">
      <c r="A243" s="236">
        <v>29</v>
      </c>
      <c r="B243" s="247">
        <v>99</v>
      </c>
      <c r="C243" s="248" t="s">
        <v>28</v>
      </c>
      <c r="D243" s="248" t="s">
        <v>59</v>
      </c>
      <c r="E243" s="248"/>
      <c r="F243" s="239" t="s">
        <v>215</v>
      </c>
      <c r="G243" s="239">
        <v>0</v>
      </c>
      <c r="H243" s="239">
        <v>0</v>
      </c>
      <c r="I243" s="239">
        <v>0</v>
      </c>
      <c r="J243" s="239">
        <v>0</v>
      </c>
      <c r="K243" s="239"/>
      <c r="L243" s="239"/>
      <c r="M243" s="239"/>
      <c r="N243" s="239"/>
      <c r="O243" s="239"/>
      <c r="P243" s="239"/>
      <c r="Q243" s="239"/>
      <c r="R243" s="239"/>
      <c r="S243" s="239">
        <f>SUM(G243:R243)</f>
        <v>0</v>
      </c>
      <c r="T243" s="244">
        <v>0</v>
      </c>
      <c r="U243" s="242" t="s">
        <v>31</v>
      </c>
      <c r="V243" s="246">
        <f>+T243-S243</f>
        <v>0</v>
      </c>
      <c r="AA243" s="276"/>
    </row>
    <row r="244" spans="1:27" ht="13.9" customHeight="1" thickBot="1" x14ac:dyDescent="0.25">
      <c r="A244" s="169"/>
      <c r="B244" s="170"/>
      <c r="C244" s="170"/>
      <c r="D244" s="170"/>
      <c r="E244" s="170"/>
      <c r="F244" s="170"/>
      <c r="G244" s="171"/>
      <c r="H244" s="171"/>
      <c r="I244" s="171"/>
      <c r="J244" s="171"/>
      <c r="K244" s="171"/>
      <c r="L244" s="171"/>
      <c r="M244" s="171"/>
      <c r="N244" s="171"/>
      <c r="O244" s="171"/>
      <c r="P244" s="171"/>
      <c r="Q244" s="171"/>
      <c r="R244" s="171"/>
      <c r="S244" s="171"/>
      <c r="T244" s="89"/>
      <c r="U244" s="36"/>
      <c r="V244" s="172"/>
      <c r="AA244" s="276"/>
    </row>
    <row r="245" spans="1:27" ht="16.5" customHeight="1" x14ac:dyDescent="0.2">
      <c r="A245" s="229" t="s">
        <v>59</v>
      </c>
      <c r="B245" s="230" t="s">
        <v>59</v>
      </c>
      <c r="C245" s="230" t="s">
        <v>59</v>
      </c>
      <c r="D245" s="230" t="s">
        <v>59</v>
      </c>
      <c r="E245" s="230"/>
      <c r="F245" s="231" t="s">
        <v>216</v>
      </c>
      <c r="G245" s="232">
        <f t="shared" ref="G245:S245" si="147">+G246+G248</f>
        <v>0</v>
      </c>
      <c r="H245" s="232">
        <f t="shared" ref="H245:I245" si="148">+H246+H248</f>
        <v>89349580</v>
      </c>
      <c r="I245" s="232">
        <f t="shared" si="148"/>
        <v>137776016</v>
      </c>
      <c r="J245" s="232">
        <f t="shared" ref="J245:P245" si="149">+J246+J248</f>
        <v>247052149</v>
      </c>
      <c r="K245" s="232">
        <f t="shared" si="149"/>
        <v>0</v>
      </c>
      <c r="L245" s="232">
        <f t="shared" si="149"/>
        <v>0</v>
      </c>
      <c r="M245" s="232">
        <f t="shared" si="149"/>
        <v>0</v>
      </c>
      <c r="N245" s="232">
        <f t="shared" si="149"/>
        <v>0</v>
      </c>
      <c r="O245" s="232">
        <f t="shared" si="149"/>
        <v>0</v>
      </c>
      <c r="P245" s="232">
        <f t="shared" si="149"/>
        <v>0</v>
      </c>
      <c r="Q245" s="232">
        <f>+Q246+Q248</f>
        <v>0</v>
      </c>
      <c r="R245" s="232">
        <f>+R246+R248</f>
        <v>0</v>
      </c>
      <c r="S245" s="232">
        <f t="shared" si="147"/>
        <v>474177745</v>
      </c>
      <c r="T245" s="232">
        <f>+T246+T248+T249</f>
        <v>6107692000</v>
      </c>
      <c r="U245" s="233">
        <f>+S245/T245</f>
        <v>7.763615863406341E-2</v>
      </c>
      <c r="V245" s="234">
        <f>V249+V248</f>
        <v>5633514255</v>
      </c>
      <c r="AA245" s="276"/>
    </row>
    <row r="246" spans="1:27" x14ac:dyDescent="0.2">
      <c r="A246" s="2">
        <v>31</v>
      </c>
      <c r="B246" s="2" t="s">
        <v>26</v>
      </c>
      <c r="C246" s="3" t="s">
        <v>59</v>
      </c>
      <c r="D246" s="3" t="s">
        <v>59</v>
      </c>
      <c r="E246" s="3"/>
      <c r="F246" s="8" t="s">
        <v>217</v>
      </c>
      <c r="G246" s="9">
        <f t="shared" ref="G246:T246" si="150">+G247</f>
        <v>0</v>
      </c>
      <c r="H246" s="9">
        <f t="shared" si="150"/>
        <v>0</v>
      </c>
      <c r="I246" s="9">
        <f t="shared" si="150"/>
        <v>0</v>
      </c>
      <c r="J246" s="9">
        <f t="shared" si="150"/>
        <v>0</v>
      </c>
      <c r="K246" s="9">
        <f t="shared" si="150"/>
        <v>0</v>
      </c>
      <c r="L246" s="9">
        <f t="shared" si="150"/>
        <v>0</v>
      </c>
      <c r="M246" s="9">
        <f t="shared" si="150"/>
        <v>0</v>
      </c>
      <c r="N246" s="9">
        <f t="shared" si="150"/>
        <v>0</v>
      </c>
      <c r="O246" s="9">
        <f t="shared" si="150"/>
        <v>0</v>
      </c>
      <c r="P246" s="9">
        <f t="shared" si="150"/>
        <v>0</v>
      </c>
      <c r="Q246" s="9">
        <f t="shared" si="150"/>
        <v>0</v>
      </c>
      <c r="R246" s="9">
        <f t="shared" si="150"/>
        <v>0</v>
      </c>
      <c r="S246" s="9">
        <f t="shared" si="150"/>
        <v>0</v>
      </c>
      <c r="T246" s="134">
        <f t="shared" si="150"/>
        <v>0</v>
      </c>
      <c r="U246" s="50" t="s">
        <v>31</v>
      </c>
      <c r="V246" s="48">
        <f>+V247</f>
        <v>0</v>
      </c>
      <c r="AA246" s="276"/>
    </row>
    <row r="247" spans="1:27" ht="13.9" customHeight="1" x14ac:dyDescent="0.2">
      <c r="A247" s="2" t="s">
        <v>59</v>
      </c>
      <c r="B247" s="2" t="s">
        <v>59</v>
      </c>
      <c r="C247" s="166" t="s">
        <v>59</v>
      </c>
      <c r="D247" s="175"/>
      <c r="E247" s="166"/>
      <c r="F247" s="175" t="s">
        <v>192</v>
      </c>
      <c r="G247" s="175">
        <v>0</v>
      </c>
      <c r="H247" s="175">
        <v>0</v>
      </c>
      <c r="I247" s="175">
        <v>0</v>
      </c>
      <c r="J247" s="175">
        <v>0</v>
      </c>
      <c r="K247" s="175"/>
      <c r="L247" s="175"/>
      <c r="M247" s="175"/>
      <c r="N247" s="175"/>
      <c r="O247" s="175"/>
      <c r="P247" s="175"/>
      <c r="Q247" s="175"/>
      <c r="R247" s="175"/>
      <c r="S247" s="175">
        <v>0</v>
      </c>
      <c r="T247" s="136">
        <v>0</v>
      </c>
      <c r="U247" s="52" t="s">
        <v>31</v>
      </c>
      <c r="V247" s="167">
        <f>+T247-S247</f>
        <v>0</v>
      </c>
      <c r="AA247" s="276"/>
    </row>
    <row r="248" spans="1:27" ht="13.9" customHeight="1" x14ac:dyDescent="0.2">
      <c r="A248" s="2">
        <v>31</v>
      </c>
      <c r="B248" s="2" t="s">
        <v>34</v>
      </c>
      <c r="C248" s="3" t="s">
        <v>59</v>
      </c>
      <c r="D248" s="3" t="s">
        <v>59</v>
      </c>
      <c r="E248" s="3"/>
      <c r="F248" s="8" t="s">
        <v>218</v>
      </c>
      <c r="G248" s="9">
        <f t="shared" ref="G248:S248" si="151">+G249+G250+G271+G295+G297+G314+G324+G336+G340</f>
        <v>0</v>
      </c>
      <c r="H248" s="9">
        <f t="shared" si="151"/>
        <v>89349580</v>
      </c>
      <c r="I248" s="9">
        <f t="shared" si="151"/>
        <v>137776016</v>
      </c>
      <c r="J248" s="9">
        <f t="shared" si="151"/>
        <v>247052149</v>
      </c>
      <c r="K248" s="9">
        <f t="shared" si="151"/>
        <v>0</v>
      </c>
      <c r="L248" s="9">
        <f t="shared" si="151"/>
        <v>0</v>
      </c>
      <c r="M248" s="9">
        <f t="shared" si="151"/>
        <v>0</v>
      </c>
      <c r="N248" s="9">
        <f t="shared" si="151"/>
        <v>0</v>
      </c>
      <c r="O248" s="9">
        <f t="shared" si="151"/>
        <v>0</v>
      </c>
      <c r="P248" s="9">
        <f t="shared" si="151"/>
        <v>0</v>
      </c>
      <c r="Q248" s="9">
        <f t="shared" si="151"/>
        <v>0</v>
      </c>
      <c r="R248" s="9">
        <f t="shared" si="151"/>
        <v>0</v>
      </c>
      <c r="S248" s="9">
        <f t="shared" si="151"/>
        <v>474177745</v>
      </c>
      <c r="T248" s="134">
        <f>+T250+T271+T295+T297+T314+T324+T336+T340</f>
        <v>6107692000</v>
      </c>
      <c r="U248" s="50">
        <f>+S248/T248</f>
        <v>7.763615863406341E-2</v>
      </c>
      <c r="V248" s="48">
        <f>+V250+V271+V295+V297+V314+V324+V336</f>
        <v>5633514255</v>
      </c>
      <c r="AA248" s="276"/>
    </row>
    <row r="249" spans="1:27" ht="14.45" customHeight="1" x14ac:dyDescent="0.2">
      <c r="A249" s="2" t="s">
        <v>59</v>
      </c>
      <c r="B249" s="4" t="s">
        <v>59</v>
      </c>
      <c r="C249" s="4" t="s">
        <v>29</v>
      </c>
      <c r="D249" s="4" t="s">
        <v>29</v>
      </c>
      <c r="E249" s="4"/>
      <c r="F249" s="175" t="s">
        <v>362</v>
      </c>
      <c r="G249" s="168">
        <v>0</v>
      </c>
      <c r="H249" s="168">
        <v>0</v>
      </c>
      <c r="I249" s="168">
        <v>0</v>
      </c>
      <c r="J249" s="168">
        <v>0</v>
      </c>
      <c r="K249" s="168"/>
      <c r="L249" s="168"/>
      <c r="M249" s="168"/>
      <c r="N249" s="168"/>
      <c r="O249" s="168"/>
      <c r="P249" s="168"/>
      <c r="Q249" s="168"/>
      <c r="R249" s="168"/>
      <c r="S249" s="168">
        <f t="shared" ref="S249" si="152">SUM(G249:R249)</f>
        <v>0</v>
      </c>
      <c r="T249" s="53">
        <v>0</v>
      </c>
      <c r="U249" s="51" t="s">
        <v>31</v>
      </c>
      <c r="V249" s="163">
        <f>+T249-S249</f>
        <v>0</v>
      </c>
      <c r="AA249" s="276"/>
    </row>
    <row r="250" spans="1:27" ht="13.9" customHeight="1" x14ac:dyDescent="0.2">
      <c r="A250" s="236">
        <v>31</v>
      </c>
      <c r="B250" s="247" t="s">
        <v>34</v>
      </c>
      <c r="C250" s="248" t="s">
        <v>28</v>
      </c>
      <c r="D250" s="248" t="s">
        <v>59</v>
      </c>
      <c r="E250" s="248"/>
      <c r="F250" s="239" t="s">
        <v>219</v>
      </c>
      <c r="G250" s="239">
        <f>SUM(G251:G269)</f>
        <v>0</v>
      </c>
      <c r="H250" s="239">
        <f>SUM(H251:H269)</f>
        <v>0</v>
      </c>
      <c r="I250" s="239">
        <f>SUM(I251:I270)</f>
        <v>0</v>
      </c>
      <c r="J250" s="239">
        <f t="shared" ref="J250:O250" si="153">SUM(J251:J269)</f>
        <v>0</v>
      </c>
      <c r="K250" s="239">
        <f t="shared" si="153"/>
        <v>0</v>
      </c>
      <c r="L250" s="239">
        <f>L252+L253+L255</f>
        <v>0</v>
      </c>
      <c r="M250" s="239">
        <f t="shared" si="153"/>
        <v>0</v>
      </c>
      <c r="N250" s="239">
        <f t="shared" si="153"/>
        <v>0</v>
      </c>
      <c r="O250" s="239">
        <f t="shared" si="153"/>
        <v>0</v>
      </c>
      <c r="P250" s="239">
        <f>SUM(P251:P268)</f>
        <v>0</v>
      </c>
      <c r="Q250" s="239">
        <f>SUM(Q251:Q269)</f>
        <v>0</v>
      </c>
      <c r="R250" s="239">
        <f>SUM(R251:R269)</f>
        <v>0</v>
      </c>
      <c r="S250" s="239">
        <f>SUM(S251:S269)</f>
        <v>0</v>
      </c>
      <c r="T250" s="244">
        <f>T252+T253+T255+T251+T254</f>
        <v>9520000</v>
      </c>
      <c r="U250" s="245">
        <f>+S250/T250</f>
        <v>0</v>
      </c>
      <c r="V250" s="246">
        <f>V251+V252+V253+V255+V254</f>
        <v>9520000</v>
      </c>
      <c r="AA250" s="276"/>
    </row>
    <row r="251" spans="1:27" ht="14.25" customHeight="1" x14ac:dyDescent="0.2">
      <c r="A251" s="57"/>
      <c r="B251" s="58"/>
      <c r="C251" s="58"/>
      <c r="D251" s="62" t="s">
        <v>32</v>
      </c>
      <c r="E251" s="57"/>
      <c r="F251" s="174" t="s">
        <v>370</v>
      </c>
      <c r="G251" s="168">
        <v>0</v>
      </c>
      <c r="H251" s="168">
        <v>0</v>
      </c>
      <c r="I251" s="168">
        <v>0</v>
      </c>
      <c r="J251" s="168">
        <v>0</v>
      </c>
      <c r="K251" s="168"/>
      <c r="L251" s="168"/>
      <c r="M251" s="168"/>
      <c r="N251" s="168"/>
      <c r="O251" s="168"/>
      <c r="P251" s="168"/>
      <c r="Q251" s="168"/>
      <c r="R251" s="168"/>
      <c r="S251" s="168">
        <f t="shared" ref="S251:S270" si="154">SUM(G251:R251)</f>
        <v>0</v>
      </c>
      <c r="T251" s="33">
        <v>6993000</v>
      </c>
      <c r="U251" s="51">
        <f>+S251/T251</f>
        <v>0</v>
      </c>
      <c r="V251" s="167">
        <f t="shared" ref="V251:V270" si="155">+T251-S251</f>
        <v>6993000</v>
      </c>
      <c r="AA251" s="276"/>
    </row>
    <row r="252" spans="1:27" ht="13.9" customHeight="1" x14ac:dyDescent="0.2">
      <c r="A252" s="57"/>
      <c r="B252" s="58"/>
      <c r="C252" s="58"/>
      <c r="D252" s="58" t="s">
        <v>75</v>
      </c>
      <c r="E252" s="58" t="s">
        <v>382</v>
      </c>
      <c r="F252" s="174" t="s">
        <v>406</v>
      </c>
      <c r="G252" s="168">
        <v>0</v>
      </c>
      <c r="H252" s="168">
        <v>0</v>
      </c>
      <c r="I252" s="168">
        <v>0</v>
      </c>
      <c r="K252" s="168"/>
      <c r="L252" s="168"/>
      <c r="M252" s="168"/>
      <c r="N252" s="168"/>
      <c r="O252" s="168"/>
      <c r="P252" s="168"/>
      <c r="Q252" s="168"/>
      <c r="R252" s="168"/>
      <c r="S252" s="168">
        <f t="shared" ref="S252:S264" si="156">SUM(G252:R252)</f>
        <v>0</v>
      </c>
      <c r="T252" s="53">
        <v>0</v>
      </c>
      <c r="U252" s="52" t="s">
        <v>31</v>
      </c>
      <c r="V252" s="167">
        <f t="shared" ref="V252:V264" si="157">+T252-S252</f>
        <v>0</v>
      </c>
      <c r="AA252" s="276"/>
    </row>
    <row r="253" spans="1:27" ht="13.9" customHeight="1" x14ac:dyDescent="0.2">
      <c r="A253" s="57"/>
      <c r="B253" s="58"/>
      <c r="C253" s="58"/>
      <c r="D253" s="58" t="s">
        <v>68</v>
      </c>
      <c r="E253" s="58" t="s">
        <v>385</v>
      </c>
      <c r="F253" s="174" t="s">
        <v>429</v>
      </c>
      <c r="G253" s="168">
        <v>0</v>
      </c>
      <c r="H253" s="168">
        <v>0</v>
      </c>
      <c r="I253" s="168">
        <v>0</v>
      </c>
      <c r="J253" s="168"/>
      <c r="K253" s="168"/>
      <c r="L253" s="168"/>
      <c r="M253" s="168"/>
      <c r="N253" s="168"/>
      <c r="O253" s="168"/>
      <c r="P253" s="168"/>
      <c r="Q253" s="168"/>
      <c r="R253" s="168"/>
      <c r="S253" s="168">
        <f t="shared" si="156"/>
        <v>0</v>
      </c>
      <c r="T253" s="53">
        <v>0</v>
      </c>
      <c r="U253" s="52" t="s">
        <v>31</v>
      </c>
      <c r="V253" s="167">
        <f t="shared" si="157"/>
        <v>0</v>
      </c>
      <c r="AA253" s="276"/>
    </row>
    <row r="254" spans="1:27" ht="13.9" customHeight="1" x14ac:dyDescent="0.2">
      <c r="A254" s="57"/>
      <c r="B254" s="58"/>
      <c r="C254" s="58"/>
      <c r="D254" s="58" t="s">
        <v>403</v>
      </c>
      <c r="E254" s="58"/>
      <c r="F254" s="174" t="s">
        <v>404</v>
      </c>
      <c r="G254" s="168">
        <v>0</v>
      </c>
      <c r="H254" s="168">
        <v>0</v>
      </c>
      <c r="I254" s="168">
        <v>0</v>
      </c>
      <c r="J254" s="168">
        <v>0</v>
      </c>
      <c r="K254" s="168"/>
      <c r="L254" s="168"/>
      <c r="M254" s="168"/>
      <c r="N254" s="168"/>
      <c r="O254" s="168"/>
      <c r="P254" s="168"/>
      <c r="Q254" s="168"/>
      <c r="R254" s="168"/>
      <c r="S254" s="168">
        <f t="shared" si="156"/>
        <v>0</v>
      </c>
      <c r="T254" s="53">
        <v>2527000</v>
      </c>
      <c r="U254" s="51">
        <f>+S254/T254</f>
        <v>0</v>
      </c>
      <c r="V254" s="167">
        <f t="shared" si="157"/>
        <v>2527000</v>
      </c>
      <c r="AA254" s="276"/>
    </row>
    <row r="255" spans="1:27" ht="13.9" customHeight="1" x14ac:dyDescent="0.2">
      <c r="A255" s="57"/>
      <c r="B255" s="58"/>
      <c r="C255" s="58"/>
      <c r="D255" s="58" t="s">
        <v>465</v>
      </c>
      <c r="E255" s="58"/>
      <c r="F255" s="174" t="s">
        <v>466</v>
      </c>
      <c r="G255" s="168">
        <v>0</v>
      </c>
      <c r="H255" s="168">
        <v>0</v>
      </c>
      <c r="I255" s="168">
        <v>0</v>
      </c>
      <c r="J255" s="168"/>
      <c r="K255" s="168"/>
      <c r="L255" s="168"/>
      <c r="M255" s="168"/>
      <c r="N255" s="168"/>
      <c r="O255" s="168"/>
      <c r="P255" s="168"/>
      <c r="Q255" s="168"/>
      <c r="R255" s="168"/>
      <c r="S255" s="168">
        <f t="shared" si="156"/>
        <v>0</v>
      </c>
      <c r="T255" s="53">
        <v>0</v>
      </c>
      <c r="U255" s="52" t="s">
        <v>31</v>
      </c>
      <c r="V255" s="167">
        <f t="shared" si="157"/>
        <v>0</v>
      </c>
      <c r="AA255" s="276"/>
    </row>
    <row r="256" spans="1:27" ht="13.9" customHeight="1" x14ac:dyDescent="0.2">
      <c r="A256" s="57"/>
      <c r="B256" s="58"/>
      <c r="C256" s="58"/>
      <c r="D256" s="58" t="s">
        <v>372</v>
      </c>
      <c r="E256" s="58" t="s">
        <v>385</v>
      </c>
      <c r="F256" s="174" t="s">
        <v>373</v>
      </c>
      <c r="G256" s="168">
        <v>0</v>
      </c>
      <c r="H256" s="168">
        <v>0</v>
      </c>
      <c r="I256" s="168">
        <v>0</v>
      </c>
      <c r="J256" s="168"/>
      <c r="K256" s="168"/>
      <c r="L256" s="168"/>
      <c r="M256" s="168"/>
      <c r="N256" s="168"/>
      <c r="O256" s="168"/>
      <c r="P256" s="168"/>
      <c r="Q256" s="168"/>
      <c r="R256" s="168"/>
      <c r="S256" s="168">
        <v>0</v>
      </c>
      <c r="T256" s="53">
        <v>0</v>
      </c>
      <c r="U256" s="51" t="s">
        <v>31</v>
      </c>
      <c r="V256" s="167">
        <f t="shared" si="157"/>
        <v>0</v>
      </c>
      <c r="AA256" s="276"/>
    </row>
    <row r="257" spans="1:27" ht="13.9" customHeight="1" x14ac:dyDescent="0.2">
      <c r="A257" s="57"/>
      <c r="B257" s="58"/>
      <c r="C257" s="58"/>
      <c r="D257" s="58" t="s">
        <v>410</v>
      </c>
      <c r="E257" s="58"/>
      <c r="F257" s="174" t="s">
        <v>411</v>
      </c>
      <c r="G257" s="168">
        <v>0</v>
      </c>
      <c r="H257" s="168">
        <v>0</v>
      </c>
      <c r="I257" s="168">
        <v>0</v>
      </c>
      <c r="J257" s="168"/>
      <c r="K257" s="168"/>
      <c r="L257" s="168"/>
      <c r="M257" s="168"/>
      <c r="N257" s="168"/>
      <c r="O257" s="168"/>
      <c r="P257" s="168"/>
      <c r="Q257" s="72"/>
      <c r="R257" s="168"/>
      <c r="S257" s="168">
        <f t="shared" ref="S257:S259" si="158">SUM(G257:R257)</f>
        <v>0</v>
      </c>
      <c r="T257" s="53">
        <v>0</v>
      </c>
      <c r="U257" s="51" t="s">
        <v>31</v>
      </c>
      <c r="V257" s="167">
        <f t="shared" si="157"/>
        <v>0</v>
      </c>
      <c r="AA257" s="276"/>
    </row>
    <row r="258" spans="1:27" ht="13.9" customHeight="1" x14ac:dyDescent="0.2">
      <c r="A258" s="57"/>
      <c r="B258" s="58"/>
      <c r="C258" s="58"/>
      <c r="D258" s="58" t="s">
        <v>224</v>
      </c>
      <c r="E258" s="58"/>
      <c r="F258" s="174" t="s">
        <v>425</v>
      </c>
      <c r="G258" s="168">
        <v>0</v>
      </c>
      <c r="H258" s="168">
        <v>0</v>
      </c>
      <c r="I258" s="168">
        <v>0</v>
      </c>
      <c r="J258" s="168"/>
      <c r="K258" s="168"/>
      <c r="L258" s="168"/>
      <c r="M258" s="168"/>
      <c r="N258" s="168"/>
      <c r="O258" s="168"/>
      <c r="P258" s="168"/>
      <c r="Q258" s="72"/>
      <c r="R258" s="168"/>
      <c r="S258" s="168">
        <f t="shared" si="158"/>
        <v>0</v>
      </c>
      <c r="T258" s="53">
        <v>0</v>
      </c>
      <c r="U258" s="51" t="s">
        <v>31</v>
      </c>
      <c r="V258" s="167">
        <f t="shared" si="157"/>
        <v>0</v>
      </c>
      <c r="AA258" s="276"/>
    </row>
    <row r="259" spans="1:27" ht="13.9" customHeight="1" x14ac:dyDescent="0.2">
      <c r="A259" s="57"/>
      <c r="B259" s="58"/>
      <c r="C259" s="58"/>
      <c r="D259" s="58" t="s">
        <v>424</v>
      </c>
      <c r="E259" s="58" t="s">
        <v>381</v>
      </c>
      <c r="F259" s="174" t="s">
        <v>423</v>
      </c>
      <c r="G259" s="168">
        <v>0</v>
      </c>
      <c r="H259" s="168">
        <v>0</v>
      </c>
      <c r="I259" s="168">
        <v>0</v>
      </c>
      <c r="J259" s="168"/>
      <c r="K259" s="168"/>
      <c r="L259" s="168"/>
      <c r="M259" s="168"/>
      <c r="N259" s="168"/>
      <c r="O259" s="168"/>
      <c r="P259" s="168"/>
      <c r="Q259" s="168"/>
      <c r="R259" s="168"/>
      <c r="S259" s="168">
        <f t="shared" si="158"/>
        <v>0</v>
      </c>
      <c r="T259" s="53">
        <v>0</v>
      </c>
      <c r="U259" s="51" t="s">
        <v>31</v>
      </c>
      <c r="V259" s="167">
        <f t="shared" si="157"/>
        <v>0</v>
      </c>
      <c r="AA259" s="276"/>
    </row>
    <row r="260" spans="1:27" ht="13.9" customHeight="1" x14ac:dyDescent="0.2">
      <c r="A260" s="57"/>
      <c r="B260" s="58"/>
      <c r="C260" s="58"/>
      <c r="D260" s="58" t="s">
        <v>230</v>
      </c>
      <c r="E260" s="58"/>
      <c r="F260" s="174" t="s">
        <v>231</v>
      </c>
      <c r="G260" s="168">
        <v>0</v>
      </c>
      <c r="H260" s="168">
        <v>0</v>
      </c>
      <c r="I260" s="168">
        <v>0</v>
      </c>
      <c r="J260" s="168"/>
      <c r="K260" s="168"/>
      <c r="L260" s="168"/>
      <c r="M260" s="168"/>
      <c r="N260" s="168"/>
      <c r="O260" s="168"/>
      <c r="P260" s="168"/>
      <c r="Q260" s="168"/>
      <c r="R260" s="168"/>
      <c r="S260" s="168">
        <f t="shared" si="156"/>
        <v>0</v>
      </c>
      <c r="T260" s="53">
        <v>0</v>
      </c>
      <c r="U260" s="51" t="s">
        <v>31</v>
      </c>
      <c r="V260" s="167">
        <f t="shared" si="157"/>
        <v>0</v>
      </c>
      <c r="AA260" s="276"/>
    </row>
    <row r="261" spans="1:27" ht="14.25" customHeight="1" x14ac:dyDescent="0.2">
      <c r="A261" s="57" t="s">
        <v>59</v>
      </c>
      <c r="B261" s="58" t="s">
        <v>59</v>
      </c>
      <c r="C261" s="58" t="s">
        <v>59</v>
      </c>
      <c r="D261" s="58" t="s">
        <v>379</v>
      </c>
      <c r="E261" s="58" t="s">
        <v>381</v>
      </c>
      <c r="F261" s="174" t="s">
        <v>380</v>
      </c>
      <c r="G261" s="168">
        <v>0</v>
      </c>
      <c r="H261" s="168">
        <v>0</v>
      </c>
      <c r="I261" s="168">
        <v>0</v>
      </c>
      <c r="J261" s="168"/>
      <c r="K261" s="168"/>
      <c r="L261" s="168"/>
      <c r="M261" s="168"/>
      <c r="N261" s="168"/>
      <c r="O261" s="168"/>
      <c r="P261" s="168"/>
      <c r="Q261" s="168"/>
      <c r="R261" s="168"/>
      <c r="S261" s="168">
        <f t="shared" si="156"/>
        <v>0</v>
      </c>
      <c r="T261" s="53">
        <v>0</v>
      </c>
      <c r="U261" s="51" t="s">
        <v>31</v>
      </c>
      <c r="V261" s="167">
        <f t="shared" si="157"/>
        <v>0</v>
      </c>
      <c r="AA261" s="276"/>
    </row>
    <row r="262" spans="1:27" ht="14.25" customHeight="1" x14ac:dyDescent="0.2">
      <c r="A262" s="57"/>
      <c r="B262" s="58"/>
      <c r="C262" s="58"/>
      <c r="D262" s="58" t="s">
        <v>235</v>
      </c>
      <c r="E262" s="58" t="s">
        <v>236</v>
      </c>
      <c r="F262" s="174" t="s">
        <v>237</v>
      </c>
      <c r="G262" s="168">
        <v>0</v>
      </c>
      <c r="H262" s="168">
        <v>0</v>
      </c>
      <c r="I262" s="168">
        <v>0</v>
      </c>
      <c r="J262" s="168"/>
      <c r="K262" s="168"/>
      <c r="L262" s="168"/>
      <c r="M262" s="168"/>
      <c r="N262" s="168"/>
      <c r="O262" s="168"/>
      <c r="P262" s="168"/>
      <c r="Q262" s="168"/>
      <c r="R262" s="168"/>
      <c r="S262" s="168">
        <f t="shared" si="156"/>
        <v>0</v>
      </c>
      <c r="T262" s="53">
        <v>0</v>
      </c>
      <c r="U262" s="51" t="s">
        <v>31</v>
      </c>
      <c r="V262" s="167">
        <f t="shared" si="157"/>
        <v>0</v>
      </c>
      <c r="AA262" s="276"/>
    </row>
    <row r="263" spans="1:27" ht="14.25" customHeight="1" x14ac:dyDescent="0.2">
      <c r="A263" s="57"/>
      <c r="B263" s="58"/>
      <c r="C263" s="58"/>
      <c r="D263" s="58" t="s">
        <v>88</v>
      </c>
      <c r="E263" s="58" t="s">
        <v>390</v>
      </c>
      <c r="F263" s="174" t="s">
        <v>352</v>
      </c>
      <c r="G263" s="168">
        <v>0</v>
      </c>
      <c r="H263" s="168">
        <v>0</v>
      </c>
      <c r="I263" s="168">
        <v>0</v>
      </c>
      <c r="J263" s="168"/>
      <c r="K263" s="168"/>
      <c r="L263" s="168"/>
      <c r="M263" s="168"/>
      <c r="N263" s="168"/>
      <c r="O263" s="168"/>
      <c r="P263" s="168"/>
      <c r="Q263" s="168"/>
      <c r="R263" s="168"/>
      <c r="S263" s="168">
        <f t="shared" si="156"/>
        <v>0</v>
      </c>
      <c r="T263" s="53">
        <v>0</v>
      </c>
      <c r="U263" s="51" t="s">
        <v>31</v>
      </c>
      <c r="V263" s="167">
        <f t="shared" si="157"/>
        <v>0</v>
      </c>
      <c r="AA263" s="276"/>
    </row>
    <row r="264" spans="1:27" ht="14.25" customHeight="1" x14ac:dyDescent="0.2">
      <c r="A264" s="57"/>
      <c r="B264" s="58"/>
      <c r="C264" s="58"/>
      <c r="D264" s="58" t="s">
        <v>89</v>
      </c>
      <c r="E264" s="58" t="s">
        <v>240</v>
      </c>
      <c r="F264" s="174" t="s">
        <v>241</v>
      </c>
      <c r="G264" s="168">
        <v>0</v>
      </c>
      <c r="H264" s="168">
        <v>0</v>
      </c>
      <c r="I264" s="168">
        <v>0</v>
      </c>
      <c r="J264" s="168"/>
      <c r="K264" s="168"/>
      <c r="L264" s="168"/>
      <c r="M264" s="168"/>
      <c r="N264" s="168"/>
      <c r="O264" s="168"/>
      <c r="P264" s="168"/>
      <c r="Q264" s="168"/>
      <c r="R264" s="168"/>
      <c r="S264" s="168">
        <f t="shared" si="156"/>
        <v>0</v>
      </c>
      <c r="T264" s="53">
        <v>0</v>
      </c>
      <c r="U264" s="51" t="s">
        <v>31</v>
      </c>
      <c r="V264" s="167">
        <f t="shared" si="157"/>
        <v>0</v>
      </c>
      <c r="AA264" s="276"/>
    </row>
    <row r="265" spans="1:27" ht="14.25" customHeight="1" x14ac:dyDescent="0.2">
      <c r="A265" s="57"/>
      <c r="B265" s="58"/>
      <c r="C265" s="58"/>
      <c r="D265" s="58" t="s">
        <v>403</v>
      </c>
      <c r="E265" s="58"/>
      <c r="F265" s="174" t="s">
        <v>404</v>
      </c>
      <c r="G265" s="168">
        <v>0</v>
      </c>
      <c r="H265" s="168">
        <v>0</v>
      </c>
      <c r="I265" s="168">
        <v>0</v>
      </c>
      <c r="J265" s="168"/>
      <c r="K265" s="168"/>
      <c r="L265" s="168"/>
      <c r="M265" s="168"/>
      <c r="N265" s="168"/>
      <c r="O265" s="168"/>
      <c r="P265" s="168"/>
      <c r="Q265" s="168"/>
      <c r="R265" s="168"/>
      <c r="S265" s="168">
        <f t="shared" si="154"/>
        <v>0</v>
      </c>
      <c r="T265" s="33">
        <v>0</v>
      </c>
      <c r="U265" s="51" t="s">
        <v>31</v>
      </c>
      <c r="V265" s="167">
        <f t="shared" si="155"/>
        <v>0</v>
      </c>
      <c r="AA265" s="276"/>
    </row>
    <row r="266" spans="1:27" ht="14.25" customHeight="1" x14ac:dyDescent="0.2">
      <c r="A266" s="57"/>
      <c r="B266" s="58"/>
      <c r="C266" s="58"/>
      <c r="D266" s="58" t="s">
        <v>224</v>
      </c>
      <c r="E266" s="58"/>
      <c r="F266" s="174" t="s">
        <v>249</v>
      </c>
      <c r="G266" s="168">
        <v>0</v>
      </c>
      <c r="H266" s="168">
        <v>0</v>
      </c>
      <c r="I266" s="168">
        <v>0</v>
      </c>
      <c r="J266" s="168"/>
      <c r="K266" s="168"/>
      <c r="L266" s="168"/>
      <c r="M266" s="168"/>
      <c r="N266" s="168"/>
      <c r="O266" s="168"/>
      <c r="P266" s="168"/>
      <c r="Q266" s="168"/>
      <c r="R266" s="168"/>
      <c r="S266" s="168">
        <f t="shared" si="154"/>
        <v>0</v>
      </c>
      <c r="T266" s="33">
        <v>0</v>
      </c>
      <c r="U266" s="51" t="s">
        <v>31</v>
      </c>
      <c r="V266" s="167">
        <f t="shared" si="155"/>
        <v>0</v>
      </c>
      <c r="AA266" s="276"/>
    </row>
    <row r="267" spans="1:27" x14ac:dyDescent="0.2">
      <c r="A267" s="57"/>
      <c r="B267" s="58"/>
      <c r="C267" s="58"/>
      <c r="D267" s="58" t="s">
        <v>232</v>
      </c>
      <c r="E267" s="58" t="s">
        <v>233</v>
      </c>
      <c r="F267" s="174" t="s">
        <v>234</v>
      </c>
      <c r="G267" s="168">
        <v>0</v>
      </c>
      <c r="H267" s="168">
        <v>0</v>
      </c>
      <c r="I267" s="168">
        <v>0</v>
      </c>
      <c r="J267" s="168"/>
      <c r="K267" s="168"/>
      <c r="L267" s="168"/>
      <c r="M267" s="168"/>
      <c r="N267" s="168"/>
      <c r="O267" s="168"/>
      <c r="P267" s="168"/>
      <c r="Q267" s="168"/>
      <c r="R267" s="168"/>
      <c r="S267" s="168">
        <f t="shared" si="154"/>
        <v>0</v>
      </c>
      <c r="T267" s="33">
        <v>0</v>
      </c>
      <c r="U267" s="51" t="s">
        <v>31</v>
      </c>
      <c r="V267" s="167">
        <f t="shared" si="155"/>
        <v>0</v>
      </c>
      <c r="AA267" s="276"/>
    </row>
    <row r="268" spans="1:27" ht="14.45" customHeight="1" x14ac:dyDescent="0.2">
      <c r="A268" s="57"/>
      <c r="B268" s="58"/>
      <c r="C268" s="58"/>
      <c r="D268" s="58" t="s">
        <v>238</v>
      </c>
      <c r="E268" s="58"/>
      <c r="F268" s="174" t="s">
        <v>354</v>
      </c>
      <c r="G268" s="168">
        <v>0</v>
      </c>
      <c r="H268" s="168">
        <v>0</v>
      </c>
      <c r="I268" s="168">
        <v>0</v>
      </c>
      <c r="J268" s="168"/>
      <c r="K268" s="168"/>
      <c r="L268" s="168"/>
      <c r="M268" s="168"/>
      <c r="N268" s="168"/>
      <c r="O268" s="168"/>
      <c r="P268" s="168"/>
      <c r="Q268" s="168"/>
      <c r="R268" s="168"/>
      <c r="S268" s="168">
        <f t="shared" si="154"/>
        <v>0</v>
      </c>
      <c r="T268" s="53">
        <v>0</v>
      </c>
      <c r="U268" s="51" t="s">
        <v>31</v>
      </c>
      <c r="V268" s="167">
        <f t="shared" si="155"/>
        <v>0</v>
      </c>
      <c r="AA268" s="276"/>
    </row>
    <row r="269" spans="1:27" ht="14.25" customHeight="1" x14ac:dyDescent="0.2">
      <c r="A269" s="57" t="s">
        <v>59</v>
      </c>
      <c r="B269" s="58" t="s">
        <v>59</v>
      </c>
      <c r="C269" s="58" t="s">
        <v>59</v>
      </c>
      <c r="D269" s="58" t="s">
        <v>235</v>
      </c>
      <c r="E269" s="58"/>
      <c r="F269" s="174" t="s">
        <v>237</v>
      </c>
      <c r="G269" s="168">
        <v>0</v>
      </c>
      <c r="H269" s="168">
        <v>0</v>
      </c>
      <c r="I269" s="168">
        <v>0</v>
      </c>
      <c r="J269" s="168"/>
      <c r="K269" s="168"/>
      <c r="L269" s="168"/>
      <c r="M269" s="168"/>
      <c r="N269" s="168"/>
      <c r="O269" s="168"/>
      <c r="P269" s="168"/>
      <c r="Q269" s="168"/>
      <c r="R269" s="168"/>
      <c r="S269" s="168">
        <f t="shared" si="154"/>
        <v>0</v>
      </c>
      <c r="T269" s="53">
        <v>0</v>
      </c>
      <c r="U269" s="51" t="s">
        <v>31</v>
      </c>
      <c r="V269" s="167">
        <f t="shared" si="155"/>
        <v>0</v>
      </c>
      <c r="AA269" s="276"/>
    </row>
    <row r="270" spans="1:27" ht="14.25" customHeight="1" x14ac:dyDescent="0.2">
      <c r="A270" s="57"/>
      <c r="B270" s="58"/>
      <c r="C270" s="58"/>
      <c r="D270" s="58" t="s">
        <v>89</v>
      </c>
      <c r="E270" s="58"/>
      <c r="F270" s="174" t="s">
        <v>241</v>
      </c>
      <c r="G270" s="168">
        <v>0</v>
      </c>
      <c r="H270" s="168">
        <v>0</v>
      </c>
      <c r="I270" s="168">
        <v>0</v>
      </c>
      <c r="J270" s="168"/>
      <c r="K270" s="168"/>
      <c r="L270" s="168"/>
      <c r="M270" s="168"/>
      <c r="N270" s="168"/>
      <c r="O270" s="168"/>
      <c r="P270" s="168"/>
      <c r="Q270" s="168"/>
      <c r="R270" s="168"/>
      <c r="S270" s="168">
        <f t="shared" si="154"/>
        <v>0</v>
      </c>
      <c r="T270" s="53">
        <v>0</v>
      </c>
      <c r="U270" s="51" t="s">
        <v>31</v>
      </c>
      <c r="V270" s="167">
        <f t="shared" si="155"/>
        <v>0</v>
      </c>
      <c r="AA270" s="276"/>
    </row>
    <row r="271" spans="1:27" x14ac:dyDescent="0.2">
      <c r="A271" s="236">
        <v>31</v>
      </c>
      <c r="B271" s="247" t="s">
        <v>34</v>
      </c>
      <c r="C271" s="248" t="s">
        <v>32</v>
      </c>
      <c r="D271" s="248" t="s">
        <v>59</v>
      </c>
      <c r="E271" s="248"/>
      <c r="F271" s="239" t="s">
        <v>225</v>
      </c>
      <c r="G271" s="239">
        <f t="shared" ref="G271:J271" si="159">SUM(G272:G294)</f>
        <v>0</v>
      </c>
      <c r="H271" s="239">
        <f t="shared" si="159"/>
        <v>34891460</v>
      </c>
      <c r="I271" s="239">
        <f t="shared" si="159"/>
        <v>0</v>
      </c>
      <c r="J271" s="239">
        <f t="shared" si="159"/>
        <v>53159492</v>
      </c>
      <c r="K271" s="239">
        <f>SUM(K272:K294)</f>
        <v>0</v>
      </c>
      <c r="L271" s="239">
        <f t="shared" ref="L271:R271" si="160">SUM(L272:L294)</f>
        <v>0</v>
      </c>
      <c r="M271" s="239">
        <f t="shared" si="160"/>
        <v>0</v>
      </c>
      <c r="N271" s="239">
        <f t="shared" si="160"/>
        <v>0</v>
      </c>
      <c r="O271" s="239">
        <f t="shared" si="160"/>
        <v>0</v>
      </c>
      <c r="P271" s="239">
        <f t="shared" si="160"/>
        <v>0</v>
      </c>
      <c r="Q271" s="239">
        <f t="shared" si="160"/>
        <v>0</v>
      </c>
      <c r="R271" s="239">
        <f t="shared" si="160"/>
        <v>0</v>
      </c>
      <c r="S271" s="239">
        <f>SUM(S272:S294)</f>
        <v>88050952</v>
      </c>
      <c r="T271" s="244">
        <f>T273+T275+T279+T281+T282+T286+T288+T292+T293+T294+T272</f>
        <v>692780000</v>
      </c>
      <c r="U271" s="245">
        <f t="shared" ref="U271" si="161">+S271/T271</f>
        <v>0.12709799936487773</v>
      </c>
      <c r="V271" s="246">
        <f>SUM(V272:V294)</f>
        <v>604729048</v>
      </c>
      <c r="AA271" s="276"/>
    </row>
    <row r="272" spans="1:27" ht="14.25" customHeight="1" x14ac:dyDescent="0.2">
      <c r="A272" s="2" t="s">
        <v>59</v>
      </c>
      <c r="B272" s="4" t="s">
        <v>59</v>
      </c>
      <c r="C272" s="4" t="s">
        <v>59</v>
      </c>
      <c r="D272" s="4" t="s">
        <v>32</v>
      </c>
      <c r="E272" s="4" t="s">
        <v>383</v>
      </c>
      <c r="F272" s="174" t="s">
        <v>370</v>
      </c>
      <c r="G272" s="168">
        <v>0</v>
      </c>
      <c r="H272" s="168">
        <v>0</v>
      </c>
      <c r="I272" s="168">
        <v>0</v>
      </c>
      <c r="J272" s="168">
        <v>0</v>
      </c>
      <c r="K272" s="168"/>
      <c r="L272" s="168"/>
      <c r="M272" s="168"/>
      <c r="N272" s="168"/>
      <c r="O272" s="168"/>
      <c r="P272" s="168"/>
      <c r="Q272" s="168"/>
      <c r="R272" s="168"/>
      <c r="S272" s="168">
        <f t="shared" ref="S272" si="162">SUM(G272:R272)</f>
        <v>0</v>
      </c>
      <c r="T272" s="33">
        <v>26705000</v>
      </c>
      <c r="U272" s="51">
        <f>+S272/T272</f>
        <v>0</v>
      </c>
      <c r="V272" s="167">
        <f t="shared" ref="V272" si="163">+T272-S272</f>
        <v>26705000</v>
      </c>
      <c r="AA272" s="276"/>
    </row>
    <row r="273" spans="1:27" x14ac:dyDescent="0.2">
      <c r="A273" s="57" t="s">
        <v>59</v>
      </c>
      <c r="B273" s="58" t="s">
        <v>59</v>
      </c>
      <c r="C273" s="58" t="s">
        <v>59</v>
      </c>
      <c r="D273" s="58" t="s">
        <v>75</v>
      </c>
      <c r="E273" s="58" t="s">
        <v>382</v>
      </c>
      <c r="F273" s="174" t="s">
        <v>378</v>
      </c>
      <c r="G273" s="168">
        <v>0</v>
      </c>
      <c r="H273" s="168">
        <v>0</v>
      </c>
      <c r="I273" s="168">
        <v>0</v>
      </c>
      <c r="J273" s="168">
        <v>0</v>
      </c>
      <c r="K273" s="168"/>
      <c r="L273" s="168"/>
      <c r="M273" s="168"/>
      <c r="N273" s="168"/>
      <c r="O273" s="168"/>
      <c r="P273" s="168"/>
      <c r="Q273" s="168"/>
      <c r="R273" s="168"/>
      <c r="S273" s="168">
        <f>SUM(G273:R273)</f>
        <v>0</v>
      </c>
      <c r="T273" s="33">
        <v>33230000</v>
      </c>
      <c r="U273" s="51">
        <f>+S273/T273</f>
        <v>0</v>
      </c>
      <c r="V273" s="167">
        <f>+T273-S273</f>
        <v>33230000</v>
      </c>
      <c r="AA273" s="276"/>
    </row>
    <row r="274" spans="1:27" x14ac:dyDescent="0.2">
      <c r="A274" s="57" t="s">
        <v>59</v>
      </c>
      <c r="B274" s="58" t="s">
        <v>59</v>
      </c>
      <c r="C274" s="58" t="s">
        <v>59</v>
      </c>
      <c r="D274" s="58" t="s">
        <v>81</v>
      </c>
      <c r="E274" s="58" t="s">
        <v>384</v>
      </c>
      <c r="F274" s="174" t="s">
        <v>369</v>
      </c>
      <c r="G274" s="168">
        <v>0</v>
      </c>
      <c r="H274" s="168">
        <v>0</v>
      </c>
      <c r="I274" s="168">
        <v>0</v>
      </c>
      <c r="J274" s="168"/>
      <c r="K274" s="168"/>
      <c r="L274" s="168"/>
      <c r="M274" s="168"/>
      <c r="N274" s="168"/>
      <c r="O274" s="168"/>
      <c r="P274" s="168"/>
      <c r="Q274" s="168"/>
      <c r="R274" s="168"/>
      <c r="S274" s="168">
        <f t="shared" ref="S274:S292" si="164">SUM(G274:R274)</f>
        <v>0</v>
      </c>
      <c r="T274" s="33">
        <v>0</v>
      </c>
      <c r="U274" s="51" t="s">
        <v>31</v>
      </c>
      <c r="V274" s="167">
        <f t="shared" ref="V274:V292" si="165">+T274-S274</f>
        <v>0</v>
      </c>
      <c r="AA274" s="276"/>
    </row>
    <row r="275" spans="1:27" x14ac:dyDescent="0.2">
      <c r="A275" s="57" t="s">
        <v>59</v>
      </c>
      <c r="B275" s="58" t="s">
        <v>59</v>
      </c>
      <c r="C275" s="58" t="s">
        <v>59</v>
      </c>
      <c r="D275" s="58" t="s">
        <v>121</v>
      </c>
      <c r="E275" s="58" t="s">
        <v>385</v>
      </c>
      <c r="F275" s="174" t="s">
        <v>248</v>
      </c>
      <c r="G275" s="168">
        <v>0</v>
      </c>
      <c r="H275" s="168">
        <v>0</v>
      </c>
      <c r="I275" s="168">
        <v>0</v>
      </c>
      <c r="J275" s="168"/>
      <c r="K275" s="168"/>
      <c r="L275" s="168"/>
      <c r="M275" s="168"/>
      <c r="N275" s="168"/>
      <c r="O275" s="168"/>
      <c r="P275" s="168"/>
      <c r="Q275" s="168"/>
      <c r="R275" s="168"/>
      <c r="S275" s="168">
        <f t="shared" si="164"/>
        <v>0</v>
      </c>
      <c r="T275" s="33">
        <v>0</v>
      </c>
      <c r="U275" s="52" t="s">
        <v>31</v>
      </c>
      <c r="V275" s="167">
        <f t="shared" si="165"/>
        <v>0</v>
      </c>
      <c r="AA275" s="276"/>
    </row>
    <row r="276" spans="1:27" x14ac:dyDescent="0.2">
      <c r="A276" s="57"/>
      <c r="B276" s="58"/>
      <c r="C276" s="58"/>
      <c r="D276" s="58" t="s">
        <v>372</v>
      </c>
      <c r="E276" s="58" t="s">
        <v>385</v>
      </c>
      <c r="F276" s="174" t="s">
        <v>373</v>
      </c>
      <c r="G276" s="168">
        <v>0</v>
      </c>
      <c r="H276" s="168">
        <v>0</v>
      </c>
      <c r="I276" s="168">
        <v>0</v>
      </c>
      <c r="J276" s="168"/>
      <c r="K276" s="168"/>
      <c r="L276" s="168"/>
      <c r="M276" s="168"/>
      <c r="N276" s="168"/>
      <c r="O276" s="168"/>
      <c r="P276" s="168"/>
      <c r="Q276" s="168"/>
      <c r="R276" s="168"/>
      <c r="S276" s="168">
        <f t="shared" si="164"/>
        <v>0</v>
      </c>
      <c r="T276" s="33">
        <v>0</v>
      </c>
      <c r="U276" s="51" t="s">
        <v>31</v>
      </c>
      <c r="V276" s="167">
        <f t="shared" si="165"/>
        <v>0</v>
      </c>
      <c r="AA276" s="276"/>
    </row>
    <row r="277" spans="1:27" x14ac:dyDescent="0.2">
      <c r="A277" s="57"/>
      <c r="B277" s="58"/>
      <c r="C277" s="58"/>
      <c r="D277" s="58" t="s">
        <v>204</v>
      </c>
      <c r="E277" s="58" t="s">
        <v>226</v>
      </c>
      <c r="F277" s="174" t="s">
        <v>227</v>
      </c>
      <c r="G277" s="168">
        <v>0</v>
      </c>
      <c r="H277" s="168">
        <v>0</v>
      </c>
      <c r="I277" s="168">
        <v>0</v>
      </c>
      <c r="J277" s="168"/>
      <c r="K277" s="168"/>
      <c r="L277" s="168"/>
      <c r="M277" s="168"/>
      <c r="N277" s="168"/>
      <c r="O277" s="168"/>
      <c r="P277" s="168"/>
      <c r="Q277" s="168"/>
      <c r="R277" s="168"/>
      <c r="S277" s="168">
        <f t="shared" si="164"/>
        <v>0</v>
      </c>
      <c r="T277" s="33">
        <v>0</v>
      </c>
      <c r="U277" s="51" t="s">
        <v>31</v>
      </c>
      <c r="V277" s="167">
        <f t="shared" si="165"/>
        <v>0</v>
      </c>
      <c r="AA277" s="276"/>
    </row>
    <row r="278" spans="1:27" x14ac:dyDescent="0.2">
      <c r="A278" s="2"/>
      <c r="B278" s="4"/>
      <c r="C278" s="4"/>
      <c r="D278" s="4" t="s">
        <v>228</v>
      </c>
      <c r="E278" s="4" t="s">
        <v>229</v>
      </c>
      <c r="F278" s="166" t="s">
        <v>374</v>
      </c>
      <c r="G278" s="168">
        <v>0</v>
      </c>
      <c r="H278" s="168">
        <v>0</v>
      </c>
      <c r="I278" s="168">
        <v>0</v>
      </c>
      <c r="J278" s="168"/>
      <c r="K278" s="168"/>
      <c r="L278" s="168"/>
      <c r="M278" s="168"/>
      <c r="N278" s="168"/>
      <c r="O278" s="168"/>
      <c r="P278" s="168"/>
      <c r="Q278" s="168"/>
      <c r="R278" s="168"/>
      <c r="S278" s="168">
        <f t="shared" si="164"/>
        <v>0</v>
      </c>
      <c r="T278" s="33">
        <v>0</v>
      </c>
      <c r="U278" s="51" t="s">
        <v>31</v>
      </c>
      <c r="V278" s="167">
        <f t="shared" si="165"/>
        <v>0</v>
      </c>
      <c r="AA278" s="276"/>
    </row>
    <row r="279" spans="1:27" ht="13.9" customHeight="1" x14ac:dyDescent="0.2">
      <c r="A279" s="57"/>
      <c r="B279" s="58"/>
      <c r="C279" s="58"/>
      <c r="D279" s="58" t="s">
        <v>410</v>
      </c>
      <c r="E279" s="58"/>
      <c r="F279" s="174" t="s">
        <v>411</v>
      </c>
      <c r="G279" s="168">
        <v>0</v>
      </c>
      <c r="H279" s="168">
        <v>34891460</v>
      </c>
      <c r="I279" s="168">
        <v>0</v>
      </c>
      <c r="J279" s="168">
        <v>53159492</v>
      </c>
      <c r="K279" s="168"/>
      <c r="L279" s="168"/>
      <c r="M279" s="168"/>
      <c r="N279" s="168"/>
      <c r="O279" s="168"/>
      <c r="P279" s="168"/>
      <c r="Q279" s="168"/>
      <c r="R279" s="168"/>
      <c r="S279" s="168">
        <v>62816960</v>
      </c>
      <c r="T279" s="53">
        <v>110783000</v>
      </c>
      <c r="U279" s="51">
        <f t="shared" ref="U279:U293" si="166">+S279/T279</f>
        <v>0.56702707094048721</v>
      </c>
      <c r="V279" s="167">
        <f t="shared" si="165"/>
        <v>47966040</v>
      </c>
      <c r="AA279" s="276"/>
    </row>
    <row r="280" spans="1:27" x14ac:dyDescent="0.2">
      <c r="A280" s="57" t="s">
        <v>59</v>
      </c>
      <c r="B280" s="58" t="s">
        <v>59</v>
      </c>
      <c r="C280" s="58" t="s">
        <v>59</v>
      </c>
      <c r="D280" s="58" t="s">
        <v>311</v>
      </c>
      <c r="E280" s="58" t="s">
        <v>386</v>
      </c>
      <c r="F280" s="174" t="s">
        <v>306</v>
      </c>
      <c r="G280" s="168">
        <v>0</v>
      </c>
      <c r="H280" s="168">
        <v>0</v>
      </c>
      <c r="I280" s="168">
        <v>0</v>
      </c>
      <c r="J280" s="168"/>
      <c r="K280" s="168"/>
      <c r="L280" s="168"/>
      <c r="M280" s="168"/>
      <c r="N280" s="168"/>
      <c r="O280" s="168"/>
      <c r="P280" s="168"/>
      <c r="Q280" s="168"/>
      <c r="R280" s="168"/>
      <c r="S280" s="168">
        <f t="shared" si="164"/>
        <v>0</v>
      </c>
      <c r="T280" s="33">
        <v>0</v>
      </c>
      <c r="U280" s="51" t="s">
        <v>31</v>
      </c>
      <c r="V280" s="167">
        <f t="shared" si="165"/>
        <v>0</v>
      </c>
      <c r="AA280" s="276"/>
    </row>
    <row r="281" spans="1:27" x14ac:dyDescent="0.2">
      <c r="A281" s="57"/>
      <c r="B281" s="58"/>
      <c r="C281" s="58"/>
      <c r="D281" s="58" t="s">
        <v>68</v>
      </c>
      <c r="E281" s="58" t="s">
        <v>385</v>
      </c>
      <c r="F281" s="174" t="s">
        <v>429</v>
      </c>
      <c r="G281" s="168">
        <v>0</v>
      </c>
      <c r="H281" s="168">
        <v>0</v>
      </c>
      <c r="I281" s="168">
        <v>0</v>
      </c>
      <c r="J281" s="168"/>
      <c r="K281" s="168"/>
      <c r="L281" s="168"/>
      <c r="M281" s="168"/>
      <c r="N281" s="168"/>
      <c r="O281" s="168"/>
      <c r="P281" s="168"/>
      <c r="Q281" s="168"/>
      <c r="R281" s="168"/>
      <c r="S281" s="168">
        <f t="shared" si="164"/>
        <v>0</v>
      </c>
      <c r="T281" s="33">
        <v>0</v>
      </c>
      <c r="U281" s="52" t="s">
        <v>31</v>
      </c>
      <c r="V281" s="167">
        <f t="shared" si="165"/>
        <v>0</v>
      </c>
      <c r="AA281" s="276"/>
    </row>
    <row r="282" spans="1:27" x14ac:dyDescent="0.2">
      <c r="A282" s="57"/>
      <c r="B282" s="58"/>
      <c r="C282" s="58"/>
      <c r="D282" s="58" t="s">
        <v>220</v>
      </c>
      <c r="E282" s="58" t="s">
        <v>387</v>
      </c>
      <c r="F282" s="174" t="s">
        <v>221</v>
      </c>
      <c r="G282" s="168">
        <v>0</v>
      </c>
      <c r="H282" s="168">
        <v>0</v>
      </c>
      <c r="I282" s="168">
        <v>0</v>
      </c>
      <c r="J282" s="168"/>
      <c r="K282" s="168"/>
      <c r="L282" s="168"/>
      <c r="M282" s="168"/>
      <c r="N282" s="168"/>
      <c r="O282" s="168"/>
      <c r="P282" s="168"/>
      <c r="Q282" s="168"/>
      <c r="R282" s="168"/>
      <c r="S282" s="168">
        <f t="shared" si="164"/>
        <v>0</v>
      </c>
      <c r="T282" s="33">
        <v>0</v>
      </c>
      <c r="U282" s="52" t="s">
        <v>31</v>
      </c>
      <c r="V282" s="167">
        <f t="shared" si="165"/>
        <v>0</v>
      </c>
      <c r="AA282" s="276"/>
    </row>
    <row r="283" spans="1:27" x14ac:dyDescent="0.2">
      <c r="A283" s="57" t="s">
        <v>59</v>
      </c>
      <c r="B283" s="58" t="s">
        <v>59</v>
      </c>
      <c r="C283" s="58" t="s">
        <v>59</v>
      </c>
      <c r="D283" s="58" t="s">
        <v>400</v>
      </c>
      <c r="E283" s="58" t="s">
        <v>392</v>
      </c>
      <c r="F283" s="174" t="s">
        <v>401</v>
      </c>
      <c r="G283" s="168">
        <v>0</v>
      </c>
      <c r="H283" s="168">
        <v>0</v>
      </c>
      <c r="I283" s="168">
        <v>0</v>
      </c>
      <c r="J283" s="168"/>
      <c r="K283" s="168"/>
      <c r="L283" s="168"/>
      <c r="M283" s="168"/>
      <c r="N283" s="168"/>
      <c r="O283" s="168"/>
      <c r="P283" s="168"/>
      <c r="Q283" s="168"/>
      <c r="R283" s="168"/>
      <c r="S283" s="168">
        <f>SUM(G283:R283)</f>
        <v>0</v>
      </c>
      <c r="T283" s="53">
        <v>0</v>
      </c>
      <c r="U283" s="51" t="s">
        <v>31</v>
      </c>
      <c r="V283" s="167">
        <f>+T283-S283</f>
        <v>0</v>
      </c>
      <c r="AA283" s="276"/>
    </row>
    <row r="284" spans="1:27" x14ac:dyDescent="0.2">
      <c r="A284" s="57"/>
      <c r="B284" s="58"/>
      <c r="C284" s="58"/>
      <c r="D284" s="58" t="s">
        <v>230</v>
      </c>
      <c r="E284" s="58" t="s">
        <v>388</v>
      </c>
      <c r="F284" s="174" t="s">
        <v>231</v>
      </c>
      <c r="G284" s="168">
        <v>0</v>
      </c>
      <c r="H284" s="168">
        <v>0</v>
      </c>
      <c r="I284" s="168">
        <v>0</v>
      </c>
      <c r="J284" s="168"/>
      <c r="K284" s="168"/>
      <c r="L284" s="168"/>
      <c r="M284" s="168"/>
      <c r="N284" s="168"/>
      <c r="O284" s="168"/>
      <c r="P284" s="168"/>
      <c r="Q284" s="168"/>
      <c r="R284" s="168"/>
      <c r="S284" s="168">
        <f t="shared" si="164"/>
        <v>0</v>
      </c>
      <c r="T284" s="33">
        <v>0</v>
      </c>
      <c r="U284" s="51" t="s">
        <v>31</v>
      </c>
      <c r="V284" s="167">
        <f t="shared" si="165"/>
        <v>0</v>
      </c>
      <c r="AA284" s="276"/>
    </row>
    <row r="285" spans="1:27" x14ac:dyDescent="0.2">
      <c r="A285" s="57" t="s">
        <v>59</v>
      </c>
      <c r="B285" s="58" t="s">
        <v>59</v>
      </c>
      <c r="C285" s="58" t="s">
        <v>59</v>
      </c>
      <c r="D285" s="58" t="s">
        <v>379</v>
      </c>
      <c r="E285" s="58" t="s">
        <v>381</v>
      </c>
      <c r="F285" s="174" t="s">
        <v>380</v>
      </c>
      <c r="G285" s="168">
        <v>0</v>
      </c>
      <c r="H285" s="168">
        <v>0</v>
      </c>
      <c r="I285" s="168">
        <v>0</v>
      </c>
      <c r="J285" s="168"/>
      <c r="K285" s="168"/>
      <c r="L285" s="168"/>
      <c r="M285" s="168"/>
      <c r="N285" s="168"/>
      <c r="O285" s="168"/>
      <c r="P285" s="168"/>
      <c r="Q285" s="168"/>
      <c r="R285" s="168"/>
      <c r="S285" s="168">
        <f>SUM(G285:R285)</f>
        <v>0</v>
      </c>
      <c r="T285" s="53">
        <v>0</v>
      </c>
      <c r="U285" s="51" t="s">
        <v>31</v>
      </c>
      <c r="V285" s="167">
        <f>+T285-S285</f>
        <v>0</v>
      </c>
      <c r="AA285" s="276"/>
    </row>
    <row r="286" spans="1:27" x14ac:dyDescent="0.2">
      <c r="A286" s="57"/>
      <c r="B286" s="58"/>
      <c r="C286" s="58"/>
      <c r="D286" s="58" t="s">
        <v>402</v>
      </c>
      <c r="E286" s="58" t="s">
        <v>392</v>
      </c>
      <c r="F286" s="174" t="s">
        <v>200</v>
      </c>
      <c r="G286" s="168">
        <v>0</v>
      </c>
      <c r="H286" s="168">
        <v>0</v>
      </c>
      <c r="I286" s="168">
        <v>0</v>
      </c>
      <c r="J286" s="168">
        <v>0</v>
      </c>
      <c r="K286" s="168"/>
      <c r="L286" s="168"/>
      <c r="M286" s="168"/>
      <c r="N286" s="168"/>
      <c r="O286" s="168"/>
      <c r="P286" s="168"/>
      <c r="Q286" s="168"/>
      <c r="R286" s="168"/>
      <c r="S286" s="168">
        <f>SUM(G286:R286)</f>
        <v>0</v>
      </c>
      <c r="T286" s="53">
        <v>368798000</v>
      </c>
      <c r="U286" s="51">
        <f t="shared" si="166"/>
        <v>0</v>
      </c>
      <c r="V286" s="167">
        <f>+T286-S286</f>
        <v>368798000</v>
      </c>
      <c r="AA286" s="276"/>
    </row>
    <row r="287" spans="1:27" x14ac:dyDescent="0.2">
      <c r="A287" s="57" t="s">
        <v>59</v>
      </c>
      <c r="B287" s="58" t="s">
        <v>59</v>
      </c>
      <c r="C287" s="58" t="s">
        <v>59</v>
      </c>
      <c r="D287" s="58" t="s">
        <v>235</v>
      </c>
      <c r="E287" s="58" t="s">
        <v>236</v>
      </c>
      <c r="F287" s="174" t="s">
        <v>237</v>
      </c>
      <c r="G287" s="168">
        <v>0</v>
      </c>
      <c r="H287" s="168">
        <v>0</v>
      </c>
      <c r="I287" s="168">
        <v>0</v>
      </c>
      <c r="J287" s="168"/>
      <c r="K287" s="168"/>
      <c r="L287" s="168"/>
      <c r="M287" s="168"/>
      <c r="N287" s="168"/>
      <c r="O287" s="168"/>
      <c r="P287" s="168"/>
      <c r="Q287" s="168"/>
      <c r="R287" s="168"/>
      <c r="S287" s="168">
        <f t="shared" si="164"/>
        <v>0</v>
      </c>
      <c r="T287" s="33">
        <v>0</v>
      </c>
      <c r="U287" s="51" t="s">
        <v>31</v>
      </c>
      <c r="V287" s="167">
        <f t="shared" si="165"/>
        <v>0</v>
      </c>
      <c r="AA287" s="276"/>
    </row>
    <row r="288" spans="1:27" x14ac:dyDescent="0.2">
      <c r="A288" s="57"/>
      <c r="B288" s="58"/>
      <c r="C288" s="58"/>
      <c r="D288" s="58" t="s">
        <v>224</v>
      </c>
      <c r="E288" s="58" t="s">
        <v>389</v>
      </c>
      <c r="F288" s="174" t="s">
        <v>249</v>
      </c>
      <c r="G288" s="168">
        <v>0</v>
      </c>
      <c r="H288" s="168">
        <v>0</v>
      </c>
      <c r="I288" s="168">
        <v>0</v>
      </c>
      <c r="J288" s="168">
        <v>0</v>
      </c>
      <c r="K288" s="168"/>
      <c r="L288" s="168"/>
      <c r="M288" s="168"/>
      <c r="N288" s="168"/>
      <c r="O288" s="168"/>
      <c r="P288" s="168"/>
      <c r="Q288" s="168"/>
      <c r="R288" s="168"/>
      <c r="S288" s="168">
        <v>25233992</v>
      </c>
      <c r="T288" s="63">
        <v>93049000</v>
      </c>
      <c r="U288" s="51">
        <f t="shared" si="166"/>
        <v>0.27119036206729785</v>
      </c>
      <c r="V288" s="167">
        <f t="shared" si="165"/>
        <v>67815008</v>
      </c>
      <c r="AA288" s="276"/>
    </row>
    <row r="289" spans="1:27" x14ac:dyDescent="0.2">
      <c r="A289" s="57"/>
      <c r="B289" s="58"/>
      <c r="C289" s="58"/>
      <c r="D289" s="58" t="s">
        <v>88</v>
      </c>
      <c r="E289" s="58" t="s">
        <v>390</v>
      </c>
      <c r="F289" s="174" t="s">
        <v>352</v>
      </c>
      <c r="G289" s="168">
        <v>0</v>
      </c>
      <c r="H289" s="168">
        <v>0</v>
      </c>
      <c r="I289" s="168">
        <v>0</v>
      </c>
      <c r="J289" s="168"/>
      <c r="K289" s="168"/>
      <c r="L289" s="168"/>
      <c r="M289" s="168"/>
      <c r="N289" s="168"/>
      <c r="O289" s="168"/>
      <c r="P289" s="168"/>
      <c r="Q289" s="168"/>
      <c r="R289" s="168"/>
      <c r="S289" s="168">
        <f t="shared" si="164"/>
        <v>0</v>
      </c>
      <c r="T289" s="53">
        <v>0</v>
      </c>
      <c r="U289" s="51" t="s">
        <v>31</v>
      </c>
      <c r="V289" s="167">
        <f t="shared" si="165"/>
        <v>0</v>
      </c>
      <c r="AA289" s="276"/>
    </row>
    <row r="290" spans="1:27" x14ac:dyDescent="0.2">
      <c r="A290" s="57" t="s">
        <v>59</v>
      </c>
      <c r="B290" s="58" t="s">
        <v>59</v>
      </c>
      <c r="C290" s="58" t="s">
        <v>59</v>
      </c>
      <c r="D290" s="58" t="s">
        <v>357</v>
      </c>
      <c r="E290" s="58" t="s">
        <v>391</v>
      </c>
      <c r="F290" s="174" t="s">
        <v>358</v>
      </c>
      <c r="G290" s="168">
        <v>0</v>
      </c>
      <c r="H290" s="168">
        <v>0</v>
      </c>
      <c r="I290" s="168">
        <v>0</v>
      </c>
      <c r="J290" s="168"/>
      <c r="K290" s="168"/>
      <c r="L290" s="168"/>
      <c r="M290" s="168"/>
      <c r="N290" s="168"/>
      <c r="O290" s="168"/>
      <c r="P290" s="168"/>
      <c r="Q290" s="168"/>
      <c r="R290" s="168"/>
      <c r="S290" s="168">
        <f t="shared" si="164"/>
        <v>0</v>
      </c>
      <c r="T290" s="53">
        <v>0</v>
      </c>
      <c r="U290" s="51" t="s">
        <v>31</v>
      </c>
      <c r="V290" s="167">
        <f t="shared" si="165"/>
        <v>0</v>
      </c>
      <c r="AA290" s="276"/>
    </row>
    <row r="291" spans="1:27" x14ac:dyDescent="0.2">
      <c r="A291" s="57" t="s">
        <v>59</v>
      </c>
      <c r="B291" s="58" t="s">
        <v>59</v>
      </c>
      <c r="C291" s="58" t="s">
        <v>59</v>
      </c>
      <c r="D291" s="58" t="s">
        <v>89</v>
      </c>
      <c r="E291" s="58" t="s">
        <v>240</v>
      </c>
      <c r="F291" s="174" t="s">
        <v>241</v>
      </c>
      <c r="G291" s="168">
        <v>0</v>
      </c>
      <c r="H291" s="168">
        <v>0</v>
      </c>
      <c r="I291" s="168">
        <v>0</v>
      </c>
      <c r="J291" s="168"/>
      <c r="K291" s="168"/>
      <c r="L291" s="168"/>
      <c r="M291" s="168"/>
      <c r="N291" s="168"/>
      <c r="O291" s="168"/>
      <c r="P291" s="168"/>
      <c r="Q291" s="168"/>
      <c r="R291" s="168"/>
      <c r="S291" s="168">
        <f t="shared" si="164"/>
        <v>0</v>
      </c>
      <c r="T291" s="53">
        <v>0</v>
      </c>
      <c r="U291" s="51" t="s">
        <v>31</v>
      </c>
      <c r="V291" s="167">
        <f t="shared" si="165"/>
        <v>0</v>
      </c>
      <c r="AA291" s="276"/>
    </row>
    <row r="292" spans="1:27" x14ac:dyDescent="0.2">
      <c r="A292" s="57"/>
      <c r="B292" s="58"/>
      <c r="C292" s="58"/>
      <c r="D292" s="58" t="s">
        <v>424</v>
      </c>
      <c r="E292" s="58" t="s">
        <v>381</v>
      </c>
      <c r="F292" s="174" t="s">
        <v>423</v>
      </c>
      <c r="G292" s="168">
        <v>0</v>
      </c>
      <c r="H292" s="168">
        <v>0</v>
      </c>
      <c r="I292" s="168">
        <v>0</v>
      </c>
      <c r="J292" s="168">
        <v>0</v>
      </c>
      <c r="K292" s="168"/>
      <c r="L292" s="168"/>
      <c r="M292" s="168"/>
      <c r="N292" s="168"/>
      <c r="O292" s="168"/>
      <c r="P292" s="168"/>
      <c r="Q292" s="168"/>
      <c r="R292" s="168"/>
      <c r="S292" s="168">
        <f t="shared" si="164"/>
        <v>0</v>
      </c>
      <c r="T292" s="53">
        <v>42081000</v>
      </c>
      <c r="U292" s="51">
        <f t="shared" si="166"/>
        <v>0</v>
      </c>
      <c r="V292" s="167">
        <f t="shared" si="165"/>
        <v>42081000</v>
      </c>
      <c r="AA292" s="276"/>
    </row>
    <row r="293" spans="1:27" x14ac:dyDescent="0.2">
      <c r="A293" s="57" t="s">
        <v>59</v>
      </c>
      <c r="B293" s="58" t="s">
        <v>59</v>
      </c>
      <c r="C293" s="58" t="s">
        <v>59</v>
      </c>
      <c r="D293" s="58" t="s">
        <v>403</v>
      </c>
      <c r="E293" s="58"/>
      <c r="F293" s="174" t="s">
        <v>404</v>
      </c>
      <c r="G293" s="168">
        <v>0</v>
      </c>
      <c r="H293" s="168">
        <v>0</v>
      </c>
      <c r="I293" s="168">
        <v>0</v>
      </c>
      <c r="J293" s="168">
        <v>0</v>
      </c>
      <c r="K293" s="168"/>
      <c r="L293" s="168"/>
      <c r="M293" s="168"/>
      <c r="N293" s="168"/>
      <c r="O293" s="168"/>
      <c r="P293" s="168"/>
      <c r="Q293" s="168"/>
      <c r="R293" s="168"/>
      <c r="S293" s="168">
        <f>SUM(G293:R293)</f>
        <v>0</v>
      </c>
      <c r="T293" s="53">
        <v>18134000</v>
      </c>
      <c r="U293" s="51">
        <f t="shared" si="166"/>
        <v>0</v>
      </c>
      <c r="V293" s="167">
        <f>+T293-S293</f>
        <v>18134000</v>
      </c>
      <c r="AA293" s="276"/>
    </row>
    <row r="294" spans="1:27" x14ac:dyDescent="0.2">
      <c r="A294" s="57"/>
      <c r="B294" s="58"/>
      <c r="C294" s="58"/>
      <c r="D294" s="58" t="s">
        <v>465</v>
      </c>
      <c r="E294" s="58"/>
      <c r="F294" s="174" t="s">
        <v>466</v>
      </c>
      <c r="G294" s="168">
        <v>0</v>
      </c>
      <c r="H294" s="168">
        <v>0</v>
      </c>
      <c r="I294" s="168">
        <v>0</v>
      </c>
      <c r="J294" s="168"/>
      <c r="K294" s="168"/>
      <c r="L294" s="168"/>
      <c r="M294" s="168"/>
      <c r="N294" s="168"/>
      <c r="O294" s="168"/>
      <c r="P294" s="168"/>
      <c r="Q294" s="168"/>
      <c r="R294" s="168"/>
      <c r="S294" s="168">
        <f>SUM(G294:R294)</f>
        <v>0</v>
      </c>
      <c r="T294" s="53">
        <v>0</v>
      </c>
      <c r="U294" s="52" t="s">
        <v>31</v>
      </c>
      <c r="V294" s="167">
        <f>+T294-S294</f>
        <v>0</v>
      </c>
      <c r="AA294" s="276"/>
    </row>
    <row r="295" spans="1:27" ht="13.9" customHeight="1" x14ac:dyDescent="0.2">
      <c r="A295" s="236">
        <v>31</v>
      </c>
      <c r="B295" s="247" t="s">
        <v>34</v>
      </c>
      <c r="C295" s="248" t="s">
        <v>63</v>
      </c>
      <c r="D295" s="248" t="s">
        <v>59</v>
      </c>
      <c r="E295" s="248"/>
      <c r="F295" s="239" t="s">
        <v>190</v>
      </c>
      <c r="G295" s="239">
        <f t="shared" ref="G295:N295" si="167">SUM(G296:G296)</f>
        <v>0</v>
      </c>
      <c r="H295" s="239">
        <f t="shared" si="167"/>
        <v>0</v>
      </c>
      <c r="I295" s="239">
        <f t="shared" si="167"/>
        <v>0</v>
      </c>
      <c r="J295" s="239">
        <f t="shared" si="167"/>
        <v>0</v>
      </c>
      <c r="K295" s="239">
        <f t="shared" si="167"/>
        <v>0</v>
      </c>
      <c r="L295" s="239">
        <f t="shared" si="167"/>
        <v>0</v>
      </c>
      <c r="M295" s="239">
        <f t="shared" si="167"/>
        <v>0</v>
      </c>
      <c r="N295" s="239">
        <f t="shared" si="167"/>
        <v>0</v>
      </c>
      <c r="O295" s="239"/>
      <c r="P295" s="239">
        <f>SUM(P296:P296)</f>
        <v>0</v>
      </c>
      <c r="Q295" s="239">
        <f>SUM(Q296:Q296)</f>
        <v>0</v>
      </c>
      <c r="R295" s="239">
        <f>SUM(R296:R296)</f>
        <v>0</v>
      </c>
      <c r="S295" s="239">
        <f>SUM(S296:S296)</f>
        <v>0</v>
      </c>
      <c r="T295" s="244">
        <f>SUM(T296:T296)</f>
        <v>0</v>
      </c>
      <c r="U295" s="245" t="s">
        <v>31</v>
      </c>
      <c r="V295" s="246">
        <f>SUM(V296:V296)</f>
        <v>0</v>
      </c>
      <c r="AA295" s="276"/>
    </row>
    <row r="296" spans="1:27" x14ac:dyDescent="0.2">
      <c r="A296" s="57" t="s">
        <v>59</v>
      </c>
      <c r="B296" s="58" t="s">
        <v>59</v>
      </c>
      <c r="C296" s="58" t="s">
        <v>59</v>
      </c>
      <c r="D296" s="58" t="s">
        <v>372</v>
      </c>
      <c r="E296" s="58" t="s">
        <v>393</v>
      </c>
      <c r="F296" s="174" t="s">
        <v>373</v>
      </c>
      <c r="G296" s="168">
        <v>0</v>
      </c>
      <c r="H296" s="168">
        <v>0</v>
      </c>
      <c r="I296" s="168">
        <v>0</v>
      </c>
      <c r="J296" s="168"/>
      <c r="K296" s="168"/>
      <c r="L296" s="168"/>
      <c r="M296" s="168"/>
      <c r="N296" s="168"/>
      <c r="O296" s="168"/>
      <c r="P296" s="168"/>
      <c r="Q296" s="168"/>
      <c r="R296" s="168"/>
      <c r="S296" s="168">
        <f t="shared" ref="S296" si="168">SUM(G296:R296)</f>
        <v>0</v>
      </c>
      <c r="T296" s="71">
        <v>0</v>
      </c>
      <c r="U296" s="51" t="s">
        <v>31</v>
      </c>
      <c r="V296" s="167">
        <f t="shared" ref="V296" si="169">+T296-S296</f>
        <v>0</v>
      </c>
      <c r="AA296" s="276"/>
    </row>
    <row r="297" spans="1:27" ht="16.149999999999999" customHeight="1" x14ac:dyDescent="0.2">
      <c r="A297" s="236">
        <v>31</v>
      </c>
      <c r="B297" s="247" t="s">
        <v>34</v>
      </c>
      <c r="C297" s="248" t="s">
        <v>64</v>
      </c>
      <c r="D297" s="248" t="s">
        <v>59</v>
      </c>
      <c r="E297" s="248"/>
      <c r="F297" s="239" t="s">
        <v>250</v>
      </c>
      <c r="G297" s="239">
        <f t="shared" ref="G297:R297" si="170">SUM(G299:G312)</f>
        <v>0</v>
      </c>
      <c r="H297" s="239">
        <f t="shared" si="170"/>
        <v>54458120</v>
      </c>
      <c r="I297" s="239">
        <f t="shared" si="170"/>
        <v>137776016</v>
      </c>
      <c r="J297" s="239">
        <f t="shared" si="170"/>
        <v>193892657</v>
      </c>
      <c r="K297" s="239">
        <f t="shared" si="170"/>
        <v>0</v>
      </c>
      <c r="L297" s="239">
        <f t="shared" si="170"/>
        <v>0</v>
      </c>
      <c r="M297" s="239">
        <f t="shared" si="170"/>
        <v>0</v>
      </c>
      <c r="N297" s="239">
        <f t="shared" si="170"/>
        <v>0</v>
      </c>
      <c r="O297" s="239">
        <f t="shared" si="170"/>
        <v>0</v>
      </c>
      <c r="P297" s="239">
        <f t="shared" si="170"/>
        <v>0</v>
      </c>
      <c r="Q297" s="239">
        <f t="shared" si="170"/>
        <v>0</v>
      </c>
      <c r="R297" s="239">
        <f t="shared" si="170"/>
        <v>0</v>
      </c>
      <c r="S297" s="239">
        <f>SUM(S299:S312)</f>
        <v>386126793</v>
      </c>
      <c r="T297" s="244">
        <f>T299+T300+T307+T308+T309+T312+T305+T313+T298</f>
        <v>5388392000</v>
      </c>
      <c r="U297" s="245">
        <f t="shared" ref="U297:U309" si="171">+S297/T297</f>
        <v>7.1659001980553749E-2</v>
      </c>
      <c r="V297" s="246">
        <f>SUM(V298:V313)</f>
        <v>5002265207</v>
      </c>
      <c r="AA297" s="276"/>
    </row>
    <row r="298" spans="1:27" x14ac:dyDescent="0.2">
      <c r="A298" s="78"/>
      <c r="B298" s="79"/>
      <c r="C298" s="79"/>
      <c r="D298" s="58" t="s">
        <v>32</v>
      </c>
      <c r="E298" s="58" t="s">
        <v>383</v>
      </c>
      <c r="F298" s="174" t="s">
        <v>370</v>
      </c>
      <c r="G298" s="180">
        <v>0</v>
      </c>
      <c r="H298" s="180">
        <v>0</v>
      </c>
      <c r="I298" s="180">
        <v>0</v>
      </c>
      <c r="J298" s="180">
        <v>0</v>
      </c>
      <c r="K298" s="180"/>
      <c r="L298" s="180"/>
      <c r="M298" s="180"/>
      <c r="N298" s="180"/>
      <c r="O298" s="180"/>
      <c r="P298" s="180"/>
      <c r="Q298" s="168"/>
      <c r="R298" s="168"/>
      <c r="S298" s="168">
        <f>SUM(G298:R298)</f>
        <v>0</v>
      </c>
      <c r="T298" s="53">
        <v>577046000</v>
      </c>
      <c r="U298" s="51">
        <f t="shared" si="171"/>
        <v>0</v>
      </c>
      <c r="V298" s="184">
        <f>+T298-S298</f>
        <v>577046000</v>
      </c>
      <c r="AA298" s="276"/>
    </row>
    <row r="299" spans="1:27" x14ac:dyDescent="0.2">
      <c r="A299" s="78"/>
      <c r="B299" s="79"/>
      <c r="C299" s="79"/>
      <c r="D299" s="79" t="s">
        <v>75</v>
      </c>
      <c r="E299" s="79" t="s">
        <v>382</v>
      </c>
      <c r="F299" s="180" t="s">
        <v>378</v>
      </c>
      <c r="G299" s="180">
        <v>0</v>
      </c>
      <c r="H299" s="180">
        <v>54458120</v>
      </c>
      <c r="I299" s="180">
        <v>39887865</v>
      </c>
      <c r="J299" s="180">
        <v>53884391</v>
      </c>
      <c r="K299" s="180"/>
      <c r="L299" s="180"/>
      <c r="M299" s="180"/>
      <c r="N299" s="180"/>
      <c r="O299" s="180"/>
      <c r="P299" s="180"/>
      <c r="Q299" s="168"/>
      <c r="R299" s="168"/>
      <c r="S299" s="168">
        <f>SUM(G299:R299)</f>
        <v>148230376</v>
      </c>
      <c r="T299" s="53">
        <v>953974000</v>
      </c>
      <c r="U299" s="51">
        <f t="shared" si="171"/>
        <v>0.15538198734976005</v>
      </c>
      <c r="V299" s="184">
        <f>+T299-S299</f>
        <v>805743624</v>
      </c>
      <c r="AA299" s="276"/>
    </row>
    <row r="300" spans="1:27" x14ac:dyDescent="0.2">
      <c r="A300" s="57" t="s">
        <v>59</v>
      </c>
      <c r="B300" s="58" t="s">
        <v>59</v>
      </c>
      <c r="C300" s="58" t="s">
        <v>59</v>
      </c>
      <c r="D300" s="58" t="s">
        <v>121</v>
      </c>
      <c r="E300" s="58" t="s">
        <v>385</v>
      </c>
      <c r="F300" s="174" t="s">
        <v>248</v>
      </c>
      <c r="G300" s="168">
        <v>0</v>
      </c>
      <c r="H300" s="168">
        <v>0</v>
      </c>
      <c r="I300" s="168">
        <v>0</v>
      </c>
      <c r="J300" s="168"/>
      <c r="K300" s="168"/>
      <c r="L300" s="168"/>
      <c r="M300" s="168"/>
      <c r="N300" s="168"/>
      <c r="O300" s="168"/>
      <c r="P300" s="168"/>
      <c r="Q300" s="168"/>
      <c r="R300" s="168"/>
      <c r="S300" s="168">
        <f>SUM(G300:R300)</f>
        <v>0</v>
      </c>
      <c r="T300" s="53">
        <v>0</v>
      </c>
      <c r="U300" s="52" t="s">
        <v>31</v>
      </c>
      <c r="V300" s="167">
        <f>+T300-S300</f>
        <v>0</v>
      </c>
      <c r="AA300" s="276"/>
    </row>
    <row r="301" spans="1:27" x14ac:dyDescent="0.2">
      <c r="A301" s="57"/>
      <c r="B301" s="58"/>
      <c r="C301" s="58"/>
      <c r="D301" s="58" t="s">
        <v>204</v>
      </c>
      <c r="E301" s="58" t="s">
        <v>226</v>
      </c>
      <c r="F301" s="174" t="s">
        <v>227</v>
      </c>
      <c r="G301" s="168">
        <v>0</v>
      </c>
      <c r="H301" s="168">
        <v>0</v>
      </c>
      <c r="I301" s="168">
        <v>0</v>
      </c>
      <c r="J301" s="168"/>
      <c r="K301" s="168"/>
      <c r="L301" s="168"/>
      <c r="M301" s="168"/>
      <c r="N301" s="168"/>
      <c r="O301" s="168"/>
      <c r="P301" s="168"/>
      <c r="Q301" s="180"/>
      <c r="R301" s="180"/>
      <c r="S301" s="180">
        <f t="shared" ref="S301:S304" si="172">SUM(G301:R301)</f>
        <v>0</v>
      </c>
      <c r="T301" s="71">
        <v>0</v>
      </c>
      <c r="U301" s="51" t="s">
        <v>31</v>
      </c>
      <c r="V301" s="167">
        <f t="shared" ref="V301:V304" si="173">+T301-S301</f>
        <v>0</v>
      </c>
      <c r="AA301" s="276"/>
    </row>
    <row r="302" spans="1:27" ht="14.25" customHeight="1" x14ac:dyDescent="0.2">
      <c r="A302" s="57" t="s">
        <v>59</v>
      </c>
      <c r="B302" s="58" t="s">
        <v>59</v>
      </c>
      <c r="C302" s="58" t="s">
        <v>59</v>
      </c>
      <c r="D302" s="4" t="s">
        <v>228</v>
      </c>
      <c r="E302" s="4" t="s">
        <v>229</v>
      </c>
      <c r="F302" s="166" t="s">
        <v>374</v>
      </c>
      <c r="G302" s="168">
        <v>0</v>
      </c>
      <c r="H302" s="168">
        <v>0</v>
      </c>
      <c r="I302" s="168">
        <v>0</v>
      </c>
      <c r="J302" s="168"/>
      <c r="K302" s="168"/>
      <c r="L302" s="168"/>
      <c r="M302" s="168"/>
      <c r="N302" s="168"/>
      <c r="O302" s="168"/>
      <c r="P302" s="168"/>
      <c r="Q302" s="168"/>
      <c r="R302" s="168"/>
      <c r="S302" s="168">
        <f t="shared" si="172"/>
        <v>0</v>
      </c>
      <c r="T302" s="33">
        <v>0</v>
      </c>
      <c r="U302" s="51" t="s">
        <v>31</v>
      </c>
      <c r="V302" s="167">
        <f t="shared" si="173"/>
        <v>0</v>
      </c>
      <c r="AA302" s="276"/>
    </row>
    <row r="303" spans="1:27" x14ac:dyDescent="0.2">
      <c r="A303" s="57" t="s">
        <v>59</v>
      </c>
      <c r="B303" s="58" t="s">
        <v>59</v>
      </c>
      <c r="C303" s="58" t="s">
        <v>59</v>
      </c>
      <c r="D303" s="58" t="s">
        <v>311</v>
      </c>
      <c r="E303" s="58" t="s">
        <v>386</v>
      </c>
      <c r="F303" s="174" t="s">
        <v>306</v>
      </c>
      <c r="G303" s="168">
        <v>0</v>
      </c>
      <c r="H303" s="168">
        <v>0</v>
      </c>
      <c r="I303" s="168">
        <v>0</v>
      </c>
      <c r="J303" s="168"/>
      <c r="K303" s="168"/>
      <c r="L303" s="168"/>
      <c r="M303" s="168"/>
      <c r="N303" s="168"/>
      <c r="O303" s="168"/>
      <c r="P303" s="168"/>
      <c r="Q303" s="168"/>
      <c r="R303" s="168"/>
      <c r="S303" s="168">
        <f t="shared" si="172"/>
        <v>0</v>
      </c>
      <c r="T303" s="33">
        <v>0</v>
      </c>
      <c r="U303" s="51" t="s">
        <v>31</v>
      </c>
      <c r="V303" s="167">
        <f t="shared" si="173"/>
        <v>0</v>
      </c>
      <c r="AA303" s="276"/>
    </row>
    <row r="304" spans="1:27" x14ac:dyDescent="0.2">
      <c r="A304" s="57"/>
      <c r="B304" s="58"/>
      <c r="C304" s="58"/>
      <c r="D304" s="58" t="s">
        <v>204</v>
      </c>
      <c r="E304" s="174"/>
      <c r="F304" s="168" t="s">
        <v>371</v>
      </c>
      <c r="G304" s="168">
        <v>0</v>
      </c>
      <c r="H304" s="168">
        <v>0</v>
      </c>
      <c r="I304" s="168">
        <v>0</v>
      </c>
      <c r="J304" s="168"/>
      <c r="K304" s="168"/>
      <c r="L304" s="168"/>
      <c r="M304" s="168"/>
      <c r="N304" s="168"/>
      <c r="O304" s="168"/>
      <c r="P304" s="168"/>
      <c r="Q304" s="168"/>
      <c r="R304" s="168"/>
      <c r="S304" s="168">
        <f t="shared" si="172"/>
        <v>0</v>
      </c>
      <c r="T304" s="33">
        <v>0</v>
      </c>
      <c r="U304" s="51" t="s">
        <v>31</v>
      </c>
      <c r="V304" s="167">
        <f t="shared" si="173"/>
        <v>0</v>
      </c>
      <c r="AA304" s="276"/>
    </row>
    <row r="305" spans="1:27" x14ac:dyDescent="0.2">
      <c r="A305" s="57" t="s">
        <v>59</v>
      </c>
      <c r="B305" s="58" t="s">
        <v>59</v>
      </c>
      <c r="C305" s="58" t="s">
        <v>59</v>
      </c>
      <c r="D305" s="58" t="s">
        <v>220</v>
      </c>
      <c r="E305" s="58" t="s">
        <v>387</v>
      </c>
      <c r="F305" s="174" t="s">
        <v>221</v>
      </c>
      <c r="G305" s="168">
        <v>0</v>
      </c>
      <c r="H305" s="71">
        <v>0</v>
      </c>
      <c r="I305" s="168">
        <v>0</v>
      </c>
      <c r="J305" s="168"/>
      <c r="K305" s="168"/>
      <c r="L305" s="168"/>
      <c r="M305" s="168"/>
      <c r="N305" s="168"/>
      <c r="O305" s="168"/>
      <c r="P305" s="168"/>
      <c r="Q305" s="168"/>
      <c r="R305" s="168"/>
      <c r="S305" s="168">
        <f t="shared" ref="S305:S311" si="174">SUM(G305:R305)</f>
        <v>0</v>
      </c>
      <c r="T305" s="33">
        <v>0</v>
      </c>
      <c r="U305" s="52" t="s">
        <v>31</v>
      </c>
      <c r="V305" s="167">
        <f t="shared" ref="V305:V311" si="175">+T305-S305</f>
        <v>0</v>
      </c>
      <c r="AA305" s="276"/>
    </row>
    <row r="306" spans="1:27" x14ac:dyDescent="0.2">
      <c r="A306" s="57"/>
      <c r="B306" s="58"/>
      <c r="C306" s="58"/>
      <c r="D306" s="58" t="s">
        <v>230</v>
      </c>
      <c r="E306" s="58"/>
      <c r="F306" s="174" t="s">
        <v>405</v>
      </c>
      <c r="G306" s="168">
        <v>0</v>
      </c>
      <c r="H306" s="168">
        <v>0</v>
      </c>
      <c r="I306" s="168">
        <v>0</v>
      </c>
      <c r="J306" s="168"/>
      <c r="K306" s="168"/>
      <c r="L306" s="168"/>
      <c r="M306" s="168"/>
      <c r="N306" s="168"/>
      <c r="O306" s="168"/>
      <c r="P306" s="168"/>
      <c r="Q306" s="168"/>
      <c r="R306" s="168"/>
      <c r="S306" s="168">
        <f t="shared" si="174"/>
        <v>0</v>
      </c>
      <c r="T306" s="63">
        <v>0</v>
      </c>
      <c r="U306" s="51" t="s">
        <v>31</v>
      </c>
      <c r="V306" s="167">
        <f t="shared" si="175"/>
        <v>0</v>
      </c>
      <c r="AA306" s="276"/>
    </row>
    <row r="307" spans="1:27" x14ac:dyDescent="0.2">
      <c r="A307" s="57"/>
      <c r="B307" s="58"/>
      <c r="C307" s="58"/>
      <c r="D307" s="58" t="s">
        <v>220</v>
      </c>
      <c r="E307" s="58" t="s">
        <v>387</v>
      </c>
      <c r="F307" s="174" t="s">
        <v>221</v>
      </c>
      <c r="G307" s="168">
        <v>0</v>
      </c>
      <c r="H307" s="168">
        <v>0</v>
      </c>
      <c r="I307" s="168">
        <v>0</v>
      </c>
      <c r="J307" s="168"/>
      <c r="K307" s="168"/>
      <c r="L307" s="168"/>
      <c r="M307" s="168"/>
      <c r="N307" s="168"/>
      <c r="O307" s="168"/>
      <c r="P307" s="168"/>
      <c r="Q307" s="168"/>
      <c r="R307" s="168"/>
      <c r="S307" s="168">
        <f t="shared" si="174"/>
        <v>0</v>
      </c>
      <c r="T307" s="63">
        <v>0</v>
      </c>
      <c r="U307" s="51" t="s">
        <v>31</v>
      </c>
      <c r="V307" s="167">
        <f>+T307-S307</f>
        <v>0</v>
      </c>
      <c r="AA307" s="276"/>
    </row>
    <row r="308" spans="1:27" x14ac:dyDescent="0.2">
      <c r="A308" s="57"/>
      <c r="B308" s="58"/>
      <c r="C308" s="58"/>
      <c r="D308" s="58" t="s">
        <v>402</v>
      </c>
      <c r="E308" s="58"/>
      <c r="F308" s="174" t="s">
        <v>426</v>
      </c>
      <c r="G308" s="168">
        <v>0</v>
      </c>
      <c r="H308" s="168">
        <v>0</v>
      </c>
      <c r="I308" s="168">
        <v>0</v>
      </c>
      <c r="J308" s="168">
        <v>0</v>
      </c>
      <c r="K308" s="168"/>
      <c r="L308" s="168"/>
      <c r="M308" s="168"/>
      <c r="N308" s="168"/>
      <c r="O308" s="168"/>
      <c r="P308" s="168"/>
      <c r="Q308" s="168"/>
      <c r="R308" s="168"/>
      <c r="S308" s="168">
        <f t="shared" si="174"/>
        <v>0</v>
      </c>
      <c r="T308" s="63">
        <v>533990000</v>
      </c>
      <c r="U308" s="51">
        <f t="shared" si="171"/>
        <v>0</v>
      </c>
      <c r="V308" s="167">
        <f>+T308-S308</f>
        <v>533990000</v>
      </c>
      <c r="AA308" s="276"/>
    </row>
    <row r="309" spans="1:27" ht="14.25" customHeight="1" x14ac:dyDescent="0.2">
      <c r="A309" s="57"/>
      <c r="B309" s="58"/>
      <c r="C309" s="58"/>
      <c r="D309" s="58" t="s">
        <v>224</v>
      </c>
      <c r="E309" s="58" t="s">
        <v>389</v>
      </c>
      <c r="F309" s="174" t="s">
        <v>249</v>
      </c>
      <c r="G309" s="168">
        <v>0</v>
      </c>
      <c r="H309" s="168">
        <v>0</v>
      </c>
      <c r="I309" s="168">
        <v>97888151</v>
      </c>
      <c r="J309" s="168">
        <v>140008266</v>
      </c>
      <c r="K309" s="168"/>
      <c r="L309" s="168"/>
      <c r="M309" s="168"/>
      <c r="N309" s="168"/>
      <c r="O309" s="168"/>
      <c r="P309" s="168"/>
      <c r="Q309" s="168"/>
      <c r="R309" s="168"/>
      <c r="S309" s="168">
        <f t="shared" si="174"/>
        <v>237896417</v>
      </c>
      <c r="T309" s="63">
        <v>3060114000</v>
      </c>
      <c r="U309" s="51">
        <f t="shared" si="171"/>
        <v>7.7741030889698887E-2</v>
      </c>
      <c r="V309" s="167">
        <f t="shared" si="175"/>
        <v>2822217583</v>
      </c>
      <c r="AA309" s="276"/>
    </row>
    <row r="310" spans="1:27" x14ac:dyDescent="0.2">
      <c r="A310" s="57"/>
      <c r="B310" s="58"/>
      <c r="C310" s="58"/>
      <c r="D310" s="58" t="s">
        <v>357</v>
      </c>
      <c r="E310" s="58" t="s">
        <v>391</v>
      </c>
      <c r="F310" s="174" t="s">
        <v>359</v>
      </c>
      <c r="G310" s="168">
        <v>0</v>
      </c>
      <c r="H310" s="168">
        <v>0</v>
      </c>
      <c r="I310" s="168">
        <v>0</v>
      </c>
      <c r="J310" s="168"/>
      <c r="K310" s="168"/>
      <c r="L310" s="168"/>
      <c r="M310" s="168"/>
      <c r="N310" s="168"/>
      <c r="O310" s="168"/>
      <c r="P310" s="168"/>
      <c r="Q310" s="168"/>
      <c r="R310" s="168"/>
      <c r="S310" s="168">
        <f t="shared" si="174"/>
        <v>0</v>
      </c>
      <c r="T310" s="63">
        <v>0</v>
      </c>
      <c r="U310" s="51" t="s">
        <v>31</v>
      </c>
      <c r="V310" s="167">
        <f t="shared" si="175"/>
        <v>0</v>
      </c>
      <c r="AA310" s="276"/>
    </row>
    <row r="311" spans="1:27" ht="14.25" customHeight="1" x14ac:dyDescent="0.2">
      <c r="A311" s="57"/>
      <c r="B311" s="58"/>
      <c r="C311" s="58"/>
      <c r="D311" s="58" t="s">
        <v>89</v>
      </c>
      <c r="E311" s="58" t="s">
        <v>391</v>
      </c>
      <c r="F311" s="174" t="s">
        <v>241</v>
      </c>
      <c r="G311" s="168">
        <v>0</v>
      </c>
      <c r="H311" s="168">
        <v>0</v>
      </c>
      <c r="I311" s="168">
        <v>0</v>
      </c>
      <c r="J311" s="168"/>
      <c r="K311" s="168"/>
      <c r="L311" s="168"/>
      <c r="M311" s="168"/>
      <c r="N311" s="168"/>
      <c r="O311" s="168"/>
      <c r="P311" s="168"/>
      <c r="Q311" s="168"/>
      <c r="R311" s="168"/>
      <c r="S311" s="168">
        <f t="shared" si="174"/>
        <v>0</v>
      </c>
      <c r="T311" s="63">
        <v>0</v>
      </c>
      <c r="U311" s="51" t="s">
        <v>31</v>
      </c>
      <c r="V311" s="167">
        <f t="shared" si="175"/>
        <v>0</v>
      </c>
      <c r="AA311" s="276"/>
    </row>
    <row r="312" spans="1:27" x14ac:dyDescent="0.2">
      <c r="A312" s="57"/>
      <c r="B312" s="58"/>
      <c r="C312" s="58"/>
      <c r="D312" s="58" t="s">
        <v>403</v>
      </c>
      <c r="E312" s="58"/>
      <c r="F312" s="174" t="s">
        <v>404</v>
      </c>
      <c r="G312" s="168">
        <v>0</v>
      </c>
      <c r="H312" s="168">
        <v>0</v>
      </c>
      <c r="I312" s="168">
        <v>0</v>
      </c>
      <c r="J312" s="168">
        <v>0</v>
      </c>
      <c r="K312" s="168"/>
      <c r="L312" s="168"/>
      <c r="M312" s="168"/>
      <c r="N312" s="168"/>
      <c r="O312" s="168"/>
      <c r="P312" s="168"/>
      <c r="Q312" s="168"/>
      <c r="R312" s="168"/>
      <c r="S312" s="168">
        <f t="shared" ref="S312:S313" si="176">SUM(G312:R312)</f>
        <v>0</v>
      </c>
      <c r="T312" s="63">
        <v>263268000</v>
      </c>
      <c r="U312" s="51">
        <f>+S312/T312</f>
        <v>0</v>
      </c>
      <c r="V312" s="167">
        <f>+T312-S312</f>
        <v>263268000</v>
      </c>
      <c r="AA312" s="276"/>
    </row>
    <row r="313" spans="1:27" x14ac:dyDescent="0.2">
      <c r="A313" s="57"/>
      <c r="B313" s="58"/>
      <c r="C313" s="58"/>
      <c r="D313" s="58" t="s">
        <v>465</v>
      </c>
      <c r="E313" s="58"/>
      <c r="F313" s="174" t="s">
        <v>466</v>
      </c>
      <c r="G313" s="168">
        <v>0</v>
      </c>
      <c r="H313" s="168">
        <v>0</v>
      </c>
      <c r="I313" s="168">
        <v>0</v>
      </c>
      <c r="J313" s="168"/>
      <c r="K313" s="168"/>
      <c r="L313" s="168"/>
      <c r="M313" s="168"/>
      <c r="N313" s="168"/>
      <c r="O313" s="168"/>
      <c r="P313" s="168"/>
      <c r="Q313" s="168"/>
      <c r="R313" s="168"/>
      <c r="S313" s="168">
        <f t="shared" si="176"/>
        <v>0</v>
      </c>
      <c r="T313" s="63">
        <v>0</v>
      </c>
      <c r="U313" s="52" t="s">
        <v>31</v>
      </c>
      <c r="V313" s="167">
        <f>+T313-S313</f>
        <v>0</v>
      </c>
      <c r="AA313" s="276"/>
    </row>
    <row r="314" spans="1:27" ht="14.45" customHeight="1" x14ac:dyDescent="0.2">
      <c r="A314" s="236">
        <v>31</v>
      </c>
      <c r="B314" s="247" t="s">
        <v>34</v>
      </c>
      <c r="C314" s="248" t="s">
        <v>74</v>
      </c>
      <c r="D314" s="248" t="s">
        <v>59</v>
      </c>
      <c r="E314" s="248"/>
      <c r="F314" s="239" t="s">
        <v>251</v>
      </c>
      <c r="G314" s="239">
        <f t="shared" ref="G314:T314" si="177">SUM(G315:G323)</f>
        <v>0</v>
      </c>
      <c r="H314" s="239">
        <f t="shared" si="177"/>
        <v>0</v>
      </c>
      <c r="I314" s="239">
        <f t="shared" si="177"/>
        <v>0</v>
      </c>
      <c r="J314" s="239">
        <f t="shared" si="177"/>
        <v>0</v>
      </c>
      <c r="K314" s="239">
        <f t="shared" si="177"/>
        <v>0</v>
      </c>
      <c r="L314" s="239">
        <f t="shared" si="177"/>
        <v>0</v>
      </c>
      <c r="M314" s="239">
        <f t="shared" si="177"/>
        <v>0</v>
      </c>
      <c r="N314" s="239">
        <f t="shared" si="177"/>
        <v>0</v>
      </c>
      <c r="O314" s="239">
        <f t="shared" si="177"/>
        <v>0</v>
      </c>
      <c r="P314" s="239">
        <f t="shared" si="177"/>
        <v>0</v>
      </c>
      <c r="Q314" s="239">
        <f t="shared" si="177"/>
        <v>0</v>
      </c>
      <c r="R314" s="239">
        <f t="shared" si="177"/>
        <v>0</v>
      </c>
      <c r="S314" s="239">
        <f t="shared" si="177"/>
        <v>0</v>
      </c>
      <c r="T314" s="244">
        <f t="shared" si="177"/>
        <v>0</v>
      </c>
      <c r="U314" s="245" t="s">
        <v>31</v>
      </c>
      <c r="V314" s="246">
        <f>SUM(V315:V323)</f>
        <v>0</v>
      </c>
      <c r="AA314" s="276"/>
    </row>
    <row r="315" spans="1:27" ht="14.45" customHeight="1" x14ac:dyDescent="0.2">
      <c r="A315" s="57"/>
      <c r="B315" s="58"/>
      <c r="C315" s="58"/>
      <c r="D315" s="58"/>
      <c r="E315" s="58" t="s">
        <v>387</v>
      </c>
      <c r="F315" s="174"/>
      <c r="G315" s="168"/>
      <c r="H315" s="168"/>
      <c r="I315" s="168"/>
      <c r="J315" s="168"/>
      <c r="K315" s="168"/>
      <c r="L315" s="168"/>
      <c r="M315" s="168"/>
      <c r="N315" s="168"/>
      <c r="O315" s="168"/>
      <c r="P315" s="168"/>
      <c r="Q315" s="168"/>
      <c r="R315" s="168"/>
      <c r="S315" s="168"/>
      <c r="T315" s="138"/>
      <c r="U315" s="51"/>
      <c r="V315" s="167"/>
      <c r="AA315" s="276"/>
    </row>
    <row r="316" spans="1:27" ht="14.45" customHeight="1" x14ac:dyDescent="0.2">
      <c r="A316" s="57"/>
      <c r="B316" s="58"/>
      <c r="C316" s="58"/>
      <c r="D316" s="58" t="s">
        <v>121</v>
      </c>
      <c r="E316" s="58"/>
      <c r="F316" s="174" t="s">
        <v>248</v>
      </c>
      <c r="G316" s="168">
        <v>0</v>
      </c>
      <c r="H316" s="168">
        <v>0</v>
      </c>
      <c r="I316" s="168">
        <v>0</v>
      </c>
      <c r="J316" s="168">
        <v>0</v>
      </c>
      <c r="K316" s="168"/>
      <c r="L316" s="168"/>
      <c r="M316" s="168"/>
      <c r="N316" s="168"/>
      <c r="O316" s="168"/>
      <c r="P316" s="168"/>
      <c r="Q316" s="168"/>
      <c r="R316" s="168"/>
      <c r="S316" s="168">
        <f>SUM(G316:R316)</f>
        <v>0</v>
      </c>
      <c r="T316" s="138">
        <v>0</v>
      </c>
      <c r="U316" s="52" t="s">
        <v>31</v>
      </c>
      <c r="V316" s="167">
        <f t="shared" ref="V316:V323" si="178">+T316-S316</f>
        <v>0</v>
      </c>
      <c r="AA316" s="276"/>
    </row>
    <row r="317" spans="1:27" ht="14.45" customHeight="1" x14ac:dyDescent="0.2">
      <c r="A317" s="57"/>
      <c r="B317" s="58"/>
      <c r="C317" s="58"/>
      <c r="D317" s="58" t="s">
        <v>220</v>
      </c>
      <c r="E317" s="58" t="s">
        <v>387</v>
      </c>
      <c r="F317" s="174" t="s">
        <v>221</v>
      </c>
      <c r="G317" s="168">
        <v>0</v>
      </c>
      <c r="H317" s="168">
        <v>0</v>
      </c>
      <c r="I317" s="168">
        <v>0</v>
      </c>
      <c r="J317" s="168"/>
      <c r="K317" s="168"/>
      <c r="L317" s="168"/>
      <c r="M317" s="168"/>
      <c r="N317" s="168"/>
      <c r="O317" s="168"/>
      <c r="P317" s="168"/>
      <c r="Q317" s="168"/>
      <c r="R317" s="168"/>
      <c r="S317" s="168">
        <f>SUM(G317:R317)</f>
        <v>0</v>
      </c>
      <c r="T317" s="138">
        <v>0</v>
      </c>
      <c r="U317" s="52" t="s">
        <v>31</v>
      </c>
      <c r="V317" s="167">
        <f t="shared" ref="V317" si="179">+T317-S317</f>
        <v>0</v>
      </c>
      <c r="AA317" s="276"/>
    </row>
    <row r="318" spans="1:27" ht="14.25" customHeight="1" x14ac:dyDescent="0.2">
      <c r="A318" s="57"/>
      <c r="B318" s="58"/>
      <c r="C318" s="58"/>
      <c r="D318" s="58" t="s">
        <v>89</v>
      </c>
      <c r="E318" s="58" t="s">
        <v>391</v>
      </c>
      <c r="F318" s="174" t="s">
        <v>241</v>
      </c>
      <c r="G318" s="168">
        <v>0</v>
      </c>
      <c r="H318" s="168">
        <v>0</v>
      </c>
      <c r="I318" s="168">
        <v>0</v>
      </c>
      <c r="J318" s="168"/>
      <c r="K318" s="168"/>
      <c r="L318" s="168"/>
      <c r="M318" s="168"/>
      <c r="N318" s="168"/>
      <c r="O318" s="168"/>
      <c r="P318" s="168"/>
      <c r="Q318" s="168"/>
      <c r="R318" s="168"/>
      <c r="S318" s="168">
        <f>SUM(G318:R318)</f>
        <v>0</v>
      </c>
      <c r="T318" s="53">
        <v>0</v>
      </c>
      <c r="U318" s="52" t="s">
        <v>31</v>
      </c>
      <c r="V318" s="167">
        <f t="shared" si="178"/>
        <v>0</v>
      </c>
      <c r="AA318" s="276"/>
    </row>
    <row r="319" spans="1:27" x14ac:dyDescent="0.2">
      <c r="A319" s="57" t="s">
        <v>59</v>
      </c>
      <c r="B319" s="58" t="s">
        <v>59</v>
      </c>
      <c r="C319" s="58" t="s">
        <v>59</v>
      </c>
      <c r="D319" s="58" t="s">
        <v>222</v>
      </c>
      <c r="E319" s="58"/>
      <c r="F319" s="174" t="s">
        <v>223</v>
      </c>
      <c r="G319" s="168">
        <v>0</v>
      </c>
      <c r="H319" s="168">
        <v>0</v>
      </c>
      <c r="I319" s="168">
        <v>0</v>
      </c>
      <c r="J319" s="168"/>
      <c r="K319" s="168"/>
      <c r="L319" s="168"/>
      <c r="M319" s="168"/>
      <c r="N319" s="168"/>
      <c r="O319" s="168"/>
      <c r="P319" s="168"/>
      <c r="Q319" s="168"/>
      <c r="R319" s="168"/>
      <c r="S319" s="168">
        <f t="shared" ref="S319:S322" si="180">SUM(G319:R319)</f>
        <v>0</v>
      </c>
      <c r="T319" s="63">
        <v>0</v>
      </c>
      <c r="U319" s="52" t="s">
        <v>31</v>
      </c>
      <c r="V319" s="167">
        <f t="shared" si="178"/>
        <v>0</v>
      </c>
      <c r="AA319" s="276"/>
    </row>
    <row r="320" spans="1:27" x14ac:dyDescent="0.2">
      <c r="A320" s="57"/>
      <c r="B320" s="58"/>
      <c r="C320" s="58"/>
      <c r="D320" s="58" t="s">
        <v>232</v>
      </c>
      <c r="E320" s="58"/>
      <c r="F320" s="174" t="s">
        <v>234</v>
      </c>
      <c r="G320" s="168">
        <v>0</v>
      </c>
      <c r="H320" s="168">
        <v>0</v>
      </c>
      <c r="I320" s="168">
        <v>0</v>
      </c>
      <c r="J320" s="168"/>
      <c r="K320" s="168"/>
      <c r="L320" s="168"/>
      <c r="M320" s="168"/>
      <c r="N320" s="168"/>
      <c r="O320" s="168"/>
      <c r="P320" s="168"/>
      <c r="Q320" s="168"/>
      <c r="R320" s="168"/>
      <c r="S320" s="168">
        <f t="shared" si="180"/>
        <v>0</v>
      </c>
      <c r="T320" s="63">
        <v>0</v>
      </c>
      <c r="U320" s="52" t="s">
        <v>31</v>
      </c>
      <c r="V320" s="167">
        <f t="shared" si="178"/>
        <v>0</v>
      </c>
      <c r="AA320" s="276"/>
    </row>
    <row r="321" spans="1:27" ht="14.25" customHeight="1" x14ac:dyDescent="0.2">
      <c r="A321" s="57" t="s">
        <v>59</v>
      </c>
      <c r="B321" s="58" t="s">
        <v>59</v>
      </c>
      <c r="C321" s="58" t="s">
        <v>59</v>
      </c>
      <c r="D321" s="58" t="s">
        <v>357</v>
      </c>
      <c r="E321" s="58" t="s">
        <v>391</v>
      </c>
      <c r="F321" s="174" t="s">
        <v>358</v>
      </c>
      <c r="G321" s="168">
        <v>0</v>
      </c>
      <c r="H321" s="168">
        <v>0</v>
      </c>
      <c r="I321" s="168">
        <v>0</v>
      </c>
      <c r="J321" s="168"/>
      <c r="K321" s="168"/>
      <c r="L321" s="168"/>
      <c r="M321" s="168"/>
      <c r="N321" s="168"/>
      <c r="O321" s="168"/>
      <c r="P321" s="168"/>
      <c r="Q321" s="168"/>
      <c r="R321" s="168"/>
      <c r="S321" s="168">
        <f t="shared" si="180"/>
        <v>0</v>
      </c>
      <c r="T321" s="53">
        <v>0</v>
      </c>
      <c r="U321" s="51" t="s">
        <v>31</v>
      </c>
      <c r="V321" s="167">
        <f t="shared" si="178"/>
        <v>0</v>
      </c>
      <c r="AA321" s="276"/>
    </row>
    <row r="322" spans="1:27" x14ac:dyDescent="0.2">
      <c r="A322" s="57"/>
      <c r="B322" s="58"/>
      <c r="C322" s="58"/>
      <c r="D322" s="58" t="s">
        <v>247</v>
      </c>
      <c r="E322" s="58"/>
      <c r="F322" s="174" t="s">
        <v>355</v>
      </c>
      <c r="G322" s="168">
        <v>0</v>
      </c>
      <c r="H322" s="168">
        <v>0</v>
      </c>
      <c r="I322" s="168">
        <v>0</v>
      </c>
      <c r="J322" s="168"/>
      <c r="K322" s="168"/>
      <c r="L322" s="168"/>
      <c r="M322" s="168"/>
      <c r="N322" s="168"/>
      <c r="O322" s="168"/>
      <c r="P322" s="168"/>
      <c r="Q322" s="168"/>
      <c r="R322" s="168"/>
      <c r="S322" s="168">
        <f t="shared" si="180"/>
        <v>0</v>
      </c>
      <c r="T322" s="53">
        <v>0</v>
      </c>
      <c r="U322" s="52" t="s">
        <v>31</v>
      </c>
      <c r="V322" s="167">
        <f t="shared" si="178"/>
        <v>0</v>
      </c>
      <c r="AA322" s="276"/>
    </row>
    <row r="323" spans="1:27" x14ac:dyDescent="0.2">
      <c r="A323" s="57"/>
      <c r="B323" s="58"/>
      <c r="C323" s="58"/>
      <c r="D323" s="58" t="s">
        <v>403</v>
      </c>
      <c r="E323" s="58"/>
      <c r="F323" s="174" t="s">
        <v>404</v>
      </c>
      <c r="G323" s="168">
        <v>0</v>
      </c>
      <c r="H323" s="168">
        <v>0</v>
      </c>
      <c r="I323" s="168">
        <v>0</v>
      </c>
      <c r="J323" s="168"/>
      <c r="K323" s="168"/>
      <c r="L323" s="168"/>
      <c r="M323" s="168"/>
      <c r="N323" s="168"/>
      <c r="O323" s="168"/>
      <c r="P323" s="168"/>
      <c r="Q323" s="168"/>
      <c r="R323" s="168"/>
      <c r="S323" s="168">
        <f>SUM(G323:R323)</f>
        <v>0</v>
      </c>
      <c r="T323" s="53">
        <v>0</v>
      </c>
      <c r="U323" s="52" t="s">
        <v>31</v>
      </c>
      <c r="V323" s="167">
        <f t="shared" si="178"/>
        <v>0</v>
      </c>
      <c r="AA323" s="276"/>
    </row>
    <row r="324" spans="1:27" ht="13.9" customHeight="1" x14ac:dyDescent="0.2">
      <c r="A324" s="236">
        <v>31</v>
      </c>
      <c r="B324" s="247" t="s">
        <v>34</v>
      </c>
      <c r="C324" s="248" t="s">
        <v>75</v>
      </c>
      <c r="D324" s="248" t="s">
        <v>59</v>
      </c>
      <c r="E324" s="248"/>
      <c r="F324" s="239" t="s">
        <v>252</v>
      </c>
      <c r="G324" s="239">
        <f t="shared" ref="G324:T324" si="181">SUM(G325:G335)</f>
        <v>0</v>
      </c>
      <c r="H324" s="239">
        <f t="shared" si="181"/>
        <v>0</v>
      </c>
      <c r="I324" s="239">
        <f t="shared" si="181"/>
        <v>0</v>
      </c>
      <c r="J324" s="239">
        <f t="shared" si="181"/>
        <v>0</v>
      </c>
      <c r="K324" s="239">
        <f t="shared" si="181"/>
        <v>0</v>
      </c>
      <c r="L324" s="239">
        <f t="shared" si="181"/>
        <v>0</v>
      </c>
      <c r="M324" s="239">
        <f t="shared" si="181"/>
        <v>0</v>
      </c>
      <c r="N324" s="239">
        <f t="shared" si="181"/>
        <v>0</v>
      </c>
      <c r="O324" s="239">
        <f t="shared" si="181"/>
        <v>0</v>
      </c>
      <c r="P324" s="239">
        <f t="shared" si="181"/>
        <v>0</v>
      </c>
      <c r="Q324" s="239">
        <f t="shared" si="181"/>
        <v>0</v>
      </c>
      <c r="R324" s="239">
        <f t="shared" si="181"/>
        <v>0</v>
      </c>
      <c r="S324" s="239">
        <f t="shared" si="181"/>
        <v>0</v>
      </c>
      <c r="T324" s="244">
        <f t="shared" si="181"/>
        <v>0</v>
      </c>
      <c r="U324" s="245" t="s">
        <v>31</v>
      </c>
      <c r="V324" s="246">
        <f>SUM(V325:V335)</f>
        <v>0</v>
      </c>
      <c r="AA324" s="276"/>
    </row>
    <row r="325" spans="1:27" ht="13.9" customHeight="1" x14ac:dyDescent="0.2">
      <c r="A325" s="57"/>
      <c r="B325" s="58"/>
      <c r="C325" s="58"/>
      <c r="D325" s="58"/>
      <c r="E325" s="58" t="s">
        <v>387</v>
      </c>
      <c r="F325" s="174"/>
      <c r="G325" s="168"/>
      <c r="H325" s="168"/>
      <c r="I325" s="168"/>
      <c r="J325" s="168"/>
      <c r="K325" s="168"/>
      <c r="L325" s="168"/>
      <c r="M325" s="168"/>
      <c r="N325" s="168"/>
      <c r="O325" s="168"/>
      <c r="P325" s="168"/>
      <c r="Q325" s="168"/>
      <c r="R325" s="168"/>
      <c r="S325" s="168"/>
      <c r="T325" s="138"/>
      <c r="U325" s="51"/>
      <c r="V325" s="167"/>
      <c r="AA325" s="276"/>
    </row>
    <row r="326" spans="1:27" ht="13.9" customHeight="1" x14ac:dyDescent="0.2">
      <c r="A326" s="57"/>
      <c r="B326" s="58"/>
      <c r="C326" s="58"/>
      <c r="D326" s="58" t="s">
        <v>121</v>
      </c>
      <c r="E326" s="58"/>
      <c r="F326" s="174" t="s">
        <v>248</v>
      </c>
      <c r="G326" s="168">
        <v>0</v>
      </c>
      <c r="H326" s="168">
        <v>0</v>
      </c>
      <c r="I326" s="168">
        <v>0</v>
      </c>
      <c r="J326" s="168">
        <v>0</v>
      </c>
      <c r="K326" s="168"/>
      <c r="L326" s="168"/>
      <c r="M326" s="168"/>
      <c r="N326" s="168"/>
      <c r="O326" s="168"/>
      <c r="P326" s="168"/>
      <c r="Q326" s="168"/>
      <c r="R326" s="168"/>
      <c r="S326" s="168">
        <f>SUM(G326:R326)</f>
        <v>0</v>
      </c>
      <c r="T326" s="138">
        <v>0</v>
      </c>
      <c r="U326" s="52" t="s">
        <v>31</v>
      </c>
      <c r="V326" s="167">
        <f t="shared" ref="V326:V335" si="182">+T326-S326</f>
        <v>0</v>
      </c>
      <c r="AA326" s="276"/>
    </row>
    <row r="327" spans="1:27" ht="13.9" customHeight="1" x14ac:dyDescent="0.2">
      <c r="A327" s="57"/>
      <c r="B327" s="58"/>
      <c r="C327" s="58"/>
      <c r="D327" s="58" t="s">
        <v>220</v>
      </c>
      <c r="E327" s="58" t="s">
        <v>387</v>
      </c>
      <c r="F327" s="174" t="s">
        <v>221</v>
      </c>
      <c r="G327" s="168">
        <v>0</v>
      </c>
      <c r="H327" s="168">
        <v>0</v>
      </c>
      <c r="I327" s="168">
        <v>0</v>
      </c>
      <c r="J327" s="168"/>
      <c r="K327" s="168"/>
      <c r="L327" s="168"/>
      <c r="M327" s="168"/>
      <c r="N327" s="168"/>
      <c r="O327" s="168"/>
      <c r="P327" s="168"/>
      <c r="Q327" s="168"/>
      <c r="R327" s="168"/>
      <c r="S327" s="168">
        <f>SUM(G327:R327)</f>
        <v>0</v>
      </c>
      <c r="T327" s="138">
        <v>0</v>
      </c>
      <c r="U327" s="52" t="s">
        <v>31</v>
      </c>
      <c r="V327" s="167">
        <f t="shared" ref="V327" si="183">+T327-S327</f>
        <v>0</v>
      </c>
      <c r="AA327" s="276"/>
    </row>
    <row r="328" spans="1:27" x14ac:dyDescent="0.2">
      <c r="A328" s="57"/>
      <c r="B328" s="58"/>
      <c r="C328" s="58"/>
      <c r="D328" s="58" t="s">
        <v>89</v>
      </c>
      <c r="E328" s="58" t="s">
        <v>391</v>
      </c>
      <c r="F328" s="174" t="s">
        <v>241</v>
      </c>
      <c r="G328" s="168">
        <v>0</v>
      </c>
      <c r="H328" s="168">
        <v>0</v>
      </c>
      <c r="I328" s="168">
        <v>0</v>
      </c>
      <c r="J328" s="168"/>
      <c r="K328" s="168"/>
      <c r="L328" s="168"/>
      <c r="M328" s="168"/>
      <c r="N328" s="168"/>
      <c r="O328" s="168"/>
      <c r="P328" s="168"/>
      <c r="Q328" s="168"/>
      <c r="R328" s="168"/>
      <c r="S328" s="168">
        <f>SUM(G328:R328)</f>
        <v>0</v>
      </c>
      <c r="T328" s="71">
        <v>0</v>
      </c>
      <c r="U328" s="52" t="s">
        <v>31</v>
      </c>
      <c r="V328" s="167">
        <f t="shared" si="182"/>
        <v>0</v>
      </c>
      <c r="AA328" s="276"/>
    </row>
    <row r="329" spans="1:27" x14ac:dyDescent="0.2">
      <c r="A329" s="57"/>
      <c r="B329" s="58"/>
      <c r="C329" s="58"/>
      <c r="D329" s="58" t="s">
        <v>232</v>
      </c>
      <c r="E329" s="58"/>
      <c r="F329" s="174" t="s">
        <v>234</v>
      </c>
      <c r="G329" s="168">
        <v>0</v>
      </c>
      <c r="H329" s="168">
        <v>0</v>
      </c>
      <c r="I329" s="168">
        <v>0</v>
      </c>
      <c r="J329" s="168"/>
      <c r="K329" s="168"/>
      <c r="L329" s="168"/>
      <c r="M329" s="168"/>
      <c r="N329" s="168"/>
      <c r="O329" s="168"/>
      <c r="P329" s="168"/>
      <c r="Q329" s="168"/>
      <c r="R329" s="168"/>
      <c r="S329" s="168">
        <f t="shared" ref="S329:S330" si="184">SUM(G329:R329)</f>
        <v>0</v>
      </c>
      <c r="T329" s="33">
        <v>0</v>
      </c>
      <c r="U329" s="52" t="s">
        <v>31</v>
      </c>
      <c r="V329" s="167">
        <f t="shared" si="182"/>
        <v>0</v>
      </c>
      <c r="AA329" s="276"/>
    </row>
    <row r="330" spans="1:27" x14ac:dyDescent="0.2">
      <c r="A330" s="57" t="s">
        <v>59</v>
      </c>
      <c r="B330" s="58" t="s">
        <v>59</v>
      </c>
      <c r="C330" s="58" t="s">
        <v>59</v>
      </c>
      <c r="D330" s="58" t="s">
        <v>357</v>
      </c>
      <c r="E330" s="58" t="s">
        <v>391</v>
      </c>
      <c r="F330" s="174" t="s">
        <v>358</v>
      </c>
      <c r="G330" s="168">
        <v>0</v>
      </c>
      <c r="H330" s="168">
        <v>0</v>
      </c>
      <c r="I330" s="168">
        <v>0</v>
      </c>
      <c r="J330" s="168"/>
      <c r="K330" s="168"/>
      <c r="L330" s="168"/>
      <c r="M330" s="168"/>
      <c r="N330" s="168"/>
      <c r="O330" s="168"/>
      <c r="P330" s="168"/>
      <c r="Q330" s="168"/>
      <c r="R330" s="168"/>
      <c r="S330" s="168">
        <f t="shared" si="184"/>
        <v>0</v>
      </c>
      <c r="T330" s="33">
        <v>0</v>
      </c>
      <c r="U330" s="51" t="s">
        <v>31</v>
      </c>
      <c r="V330" s="167">
        <f t="shared" si="182"/>
        <v>0</v>
      </c>
      <c r="AA330" s="276"/>
    </row>
    <row r="331" spans="1:27" ht="16.5" customHeight="1" x14ac:dyDescent="0.2">
      <c r="A331" s="57" t="s">
        <v>59</v>
      </c>
      <c r="B331" s="58" t="s">
        <v>59</v>
      </c>
      <c r="C331" s="58" t="s">
        <v>59</v>
      </c>
      <c r="D331" s="58" t="s">
        <v>242</v>
      </c>
      <c r="E331" s="58"/>
      <c r="F331" s="174" t="s">
        <v>243</v>
      </c>
      <c r="G331" s="168">
        <v>0</v>
      </c>
      <c r="H331" s="168">
        <v>0</v>
      </c>
      <c r="I331" s="168">
        <v>0</v>
      </c>
      <c r="J331" s="168"/>
      <c r="K331" s="168"/>
      <c r="L331" s="168"/>
      <c r="M331" s="168"/>
      <c r="N331" s="168"/>
      <c r="O331" s="168"/>
      <c r="P331" s="168"/>
      <c r="Q331" s="168"/>
      <c r="R331" s="168"/>
      <c r="S331" s="168">
        <f t="shared" ref="S331:S334" si="185">SUM(G331:R331)</f>
        <v>0</v>
      </c>
      <c r="T331" s="33">
        <v>0</v>
      </c>
      <c r="U331" s="51" t="s">
        <v>31</v>
      </c>
      <c r="V331" s="167">
        <f t="shared" si="182"/>
        <v>0</v>
      </c>
      <c r="AA331" s="276"/>
    </row>
    <row r="332" spans="1:27" ht="13.9" customHeight="1" x14ac:dyDescent="0.2">
      <c r="A332" s="57"/>
      <c r="B332" s="58"/>
      <c r="C332" s="58"/>
      <c r="D332" s="58" t="s">
        <v>244</v>
      </c>
      <c r="E332" s="58"/>
      <c r="F332" s="168" t="s">
        <v>245</v>
      </c>
      <c r="G332" s="168">
        <v>0</v>
      </c>
      <c r="H332" s="168">
        <v>0</v>
      </c>
      <c r="I332" s="168">
        <v>0</v>
      </c>
      <c r="J332" s="168"/>
      <c r="K332" s="168"/>
      <c r="L332" s="168"/>
      <c r="M332" s="168"/>
      <c r="N332" s="168"/>
      <c r="O332" s="168"/>
      <c r="P332" s="168"/>
      <c r="Q332" s="168"/>
      <c r="R332" s="168"/>
      <c r="S332" s="168">
        <f t="shared" si="185"/>
        <v>0</v>
      </c>
      <c r="T332" s="33">
        <v>0</v>
      </c>
      <c r="U332" s="51" t="s">
        <v>31</v>
      </c>
      <c r="V332" s="167">
        <f t="shared" si="182"/>
        <v>0</v>
      </c>
      <c r="AA332" s="276"/>
    </row>
    <row r="333" spans="1:27" x14ac:dyDescent="0.2">
      <c r="A333" s="57"/>
      <c r="B333" s="58"/>
      <c r="C333" s="58"/>
      <c r="D333" s="58" t="s">
        <v>247</v>
      </c>
      <c r="E333" s="58"/>
      <c r="F333" s="174" t="s">
        <v>355</v>
      </c>
      <c r="G333" s="168">
        <v>0</v>
      </c>
      <c r="H333" s="168">
        <v>0</v>
      </c>
      <c r="I333" s="168">
        <v>0</v>
      </c>
      <c r="J333" s="168"/>
      <c r="K333" s="168"/>
      <c r="L333" s="168"/>
      <c r="M333" s="168"/>
      <c r="N333" s="168"/>
      <c r="O333" s="168"/>
      <c r="P333" s="168"/>
      <c r="Q333" s="168"/>
      <c r="R333" s="168"/>
      <c r="S333" s="168">
        <f t="shared" si="185"/>
        <v>0</v>
      </c>
      <c r="T333" s="33">
        <v>0</v>
      </c>
      <c r="U333" s="51" t="s">
        <v>31</v>
      </c>
      <c r="V333" s="167">
        <f t="shared" si="182"/>
        <v>0</v>
      </c>
      <c r="AA333" s="276"/>
    </row>
    <row r="334" spans="1:27" ht="14.25" customHeight="1" x14ac:dyDescent="0.2">
      <c r="A334" s="57" t="s">
        <v>59</v>
      </c>
      <c r="B334" s="58" t="s">
        <v>59</v>
      </c>
      <c r="C334" s="58" t="s">
        <v>59</v>
      </c>
      <c r="D334" s="58" t="s">
        <v>90</v>
      </c>
      <c r="E334" s="58"/>
      <c r="F334" s="174" t="s">
        <v>246</v>
      </c>
      <c r="G334" s="168">
        <v>0</v>
      </c>
      <c r="H334" s="168">
        <v>0</v>
      </c>
      <c r="I334" s="168">
        <v>0</v>
      </c>
      <c r="J334" s="168"/>
      <c r="K334" s="168"/>
      <c r="L334" s="168"/>
      <c r="M334" s="168"/>
      <c r="N334" s="168"/>
      <c r="O334" s="168"/>
      <c r="P334" s="168"/>
      <c r="Q334" s="168"/>
      <c r="R334" s="168"/>
      <c r="S334" s="168">
        <f t="shared" si="185"/>
        <v>0</v>
      </c>
      <c r="T334" s="63">
        <v>0</v>
      </c>
      <c r="U334" s="51" t="s">
        <v>31</v>
      </c>
      <c r="V334" s="167">
        <f t="shared" si="182"/>
        <v>0</v>
      </c>
      <c r="AA334" s="276"/>
    </row>
    <row r="335" spans="1:27" ht="14.25" customHeight="1" x14ac:dyDescent="0.2">
      <c r="A335" s="57"/>
      <c r="B335" s="58"/>
      <c r="C335" s="58"/>
      <c r="D335" s="58" t="s">
        <v>403</v>
      </c>
      <c r="E335" s="58"/>
      <c r="F335" s="174" t="s">
        <v>404</v>
      </c>
      <c r="G335" s="168">
        <v>0</v>
      </c>
      <c r="H335" s="168">
        <v>0</v>
      </c>
      <c r="I335" s="168">
        <v>0</v>
      </c>
      <c r="J335" s="168"/>
      <c r="K335" s="168"/>
      <c r="L335" s="168"/>
      <c r="M335" s="168"/>
      <c r="N335" s="168"/>
      <c r="O335" s="168"/>
      <c r="P335" s="168"/>
      <c r="Q335" s="168"/>
      <c r="R335" s="168"/>
      <c r="S335" s="168">
        <f>SUM(G335:R335)</f>
        <v>0</v>
      </c>
      <c r="T335" s="53">
        <v>0</v>
      </c>
      <c r="U335" s="52" t="s">
        <v>31</v>
      </c>
      <c r="V335" s="167">
        <f t="shared" si="182"/>
        <v>0</v>
      </c>
      <c r="AA335" s="276"/>
    </row>
    <row r="336" spans="1:27" ht="13.9" customHeight="1" x14ac:dyDescent="0.2">
      <c r="A336" s="236">
        <v>31</v>
      </c>
      <c r="B336" s="247" t="s">
        <v>34</v>
      </c>
      <c r="C336" s="248" t="s">
        <v>70</v>
      </c>
      <c r="D336" s="248" t="s">
        <v>59</v>
      </c>
      <c r="E336" s="248"/>
      <c r="F336" s="239" t="s">
        <v>253</v>
      </c>
      <c r="G336" s="239">
        <f t="shared" ref="G336:S336" si="186">SUM(G338:G339)</f>
        <v>0</v>
      </c>
      <c r="H336" s="239">
        <f t="shared" si="186"/>
        <v>0</v>
      </c>
      <c r="I336" s="239">
        <f t="shared" si="186"/>
        <v>0</v>
      </c>
      <c r="J336" s="239">
        <f t="shared" si="186"/>
        <v>0</v>
      </c>
      <c r="K336" s="239">
        <f t="shared" si="186"/>
        <v>0</v>
      </c>
      <c r="L336" s="239">
        <f t="shared" si="186"/>
        <v>0</v>
      </c>
      <c r="M336" s="239">
        <f t="shared" si="186"/>
        <v>0</v>
      </c>
      <c r="N336" s="239">
        <f t="shared" si="186"/>
        <v>0</v>
      </c>
      <c r="O336" s="239">
        <f t="shared" si="186"/>
        <v>0</v>
      </c>
      <c r="P336" s="239">
        <f t="shared" si="186"/>
        <v>0</v>
      </c>
      <c r="Q336" s="239">
        <f t="shared" si="186"/>
        <v>0</v>
      </c>
      <c r="R336" s="239">
        <f t="shared" si="186"/>
        <v>0</v>
      </c>
      <c r="S336" s="239">
        <f t="shared" si="186"/>
        <v>0</v>
      </c>
      <c r="T336" s="244">
        <f>T337+T338</f>
        <v>17000000</v>
      </c>
      <c r="U336" s="245">
        <f t="shared" ref="U336:U338" si="187">+S336/T336</f>
        <v>0</v>
      </c>
      <c r="V336" s="246">
        <f>V337+V338</f>
        <v>17000000</v>
      </c>
      <c r="AA336" s="276"/>
    </row>
    <row r="337" spans="1:27" ht="13.9" customHeight="1" x14ac:dyDescent="0.2">
      <c r="A337" s="57"/>
      <c r="B337" s="58"/>
      <c r="C337" s="57"/>
      <c r="D337" s="58" t="s">
        <v>32</v>
      </c>
      <c r="E337" s="58" t="s">
        <v>383</v>
      </c>
      <c r="F337" s="174" t="s">
        <v>370</v>
      </c>
      <c r="G337" s="9">
        <v>0</v>
      </c>
      <c r="H337" s="9">
        <v>0</v>
      </c>
      <c r="I337" s="9">
        <v>0</v>
      </c>
      <c r="J337" s="9">
        <v>0</v>
      </c>
      <c r="K337" s="9"/>
      <c r="L337" s="9"/>
      <c r="M337" s="9"/>
      <c r="N337" s="9"/>
      <c r="O337" s="9"/>
      <c r="P337" s="9"/>
      <c r="Q337" s="9"/>
      <c r="R337" s="9"/>
      <c r="S337" s="168">
        <f t="shared" ref="S337:S340" si="188">SUM(G337:R337)</f>
        <v>0</v>
      </c>
      <c r="T337" s="138">
        <v>15000000</v>
      </c>
      <c r="U337" s="270">
        <f t="shared" si="187"/>
        <v>0</v>
      </c>
      <c r="V337" s="138">
        <v>15000000</v>
      </c>
      <c r="AA337" s="276"/>
    </row>
    <row r="338" spans="1:27" x14ac:dyDescent="0.2">
      <c r="A338" s="57"/>
      <c r="B338" s="62"/>
      <c r="C338" s="57"/>
      <c r="D338" s="58" t="s">
        <v>403</v>
      </c>
      <c r="E338" s="58"/>
      <c r="F338" s="174" t="s">
        <v>404</v>
      </c>
      <c r="G338" s="168">
        <v>0</v>
      </c>
      <c r="H338" s="168">
        <v>0</v>
      </c>
      <c r="I338" s="168">
        <v>0</v>
      </c>
      <c r="J338" s="168">
        <v>0</v>
      </c>
      <c r="K338" s="168"/>
      <c r="L338" s="168"/>
      <c r="M338" s="168"/>
      <c r="N338" s="168"/>
      <c r="O338" s="168"/>
      <c r="P338" s="168"/>
      <c r="Q338" s="168"/>
      <c r="R338" s="168"/>
      <c r="S338" s="168">
        <f t="shared" si="188"/>
        <v>0</v>
      </c>
      <c r="T338" s="71">
        <v>2000000</v>
      </c>
      <c r="U338" s="51">
        <f t="shared" si="187"/>
        <v>0</v>
      </c>
      <c r="V338" s="167">
        <f t="shared" ref="V338:V340" si="189">+T338-S338</f>
        <v>2000000</v>
      </c>
      <c r="AA338" s="276"/>
    </row>
    <row r="339" spans="1:27" ht="13.9" customHeight="1" x14ac:dyDescent="0.2">
      <c r="A339" s="57"/>
      <c r="B339" s="62"/>
      <c r="C339" s="57"/>
      <c r="D339" s="58" t="s">
        <v>465</v>
      </c>
      <c r="E339" s="58"/>
      <c r="F339" s="174" t="s">
        <v>466</v>
      </c>
      <c r="G339" s="168">
        <v>0</v>
      </c>
      <c r="H339" s="168">
        <v>0</v>
      </c>
      <c r="I339" s="168">
        <v>0</v>
      </c>
      <c r="J339" s="168"/>
      <c r="K339" s="168"/>
      <c r="L339" s="168"/>
      <c r="M339" s="168"/>
      <c r="N339" s="168"/>
      <c r="O339" s="168"/>
      <c r="P339" s="168"/>
      <c r="Q339" s="168"/>
      <c r="R339" s="168"/>
      <c r="S339" s="168">
        <f t="shared" si="188"/>
        <v>0</v>
      </c>
      <c r="T339" s="33">
        <v>0</v>
      </c>
      <c r="U339" s="52" t="s">
        <v>31</v>
      </c>
      <c r="V339" s="167">
        <f t="shared" si="189"/>
        <v>0</v>
      </c>
      <c r="AA339" s="276"/>
    </row>
    <row r="340" spans="1:27" x14ac:dyDescent="0.2">
      <c r="A340" s="2">
        <v>31</v>
      </c>
      <c r="B340" s="2" t="s">
        <v>44</v>
      </c>
      <c r="C340" s="3" t="s">
        <v>59</v>
      </c>
      <c r="D340" s="3" t="s">
        <v>59</v>
      </c>
      <c r="E340" s="3"/>
      <c r="F340" s="8" t="s">
        <v>254</v>
      </c>
      <c r="G340" s="9">
        <v>0</v>
      </c>
      <c r="H340" s="9">
        <v>0</v>
      </c>
      <c r="I340" s="9">
        <v>0</v>
      </c>
      <c r="J340" s="9">
        <v>0</v>
      </c>
      <c r="K340" s="9"/>
      <c r="L340" s="9"/>
      <c r="M340" s="9"/>
      <c r="N340" s="9"/>
      <c r="O340" s="9"/>
      <c r="P340" s="9"/>
      <c r="Q340" s="9"/>
      <c r="R340" s="9"/>
      <c r="S340" s="9">
        <f t="shared" si="188"/>
        <v>0</v>
      </c>
      <c r="T340" s="134">
        <v>0</v>
      </c>
      <c r="U340" s="50" t="s">
        <v>31</v>
      </c>
      <c r="V340" s="12">
        <f t="shared" si="189"/>
        <v>0</v>
      </c>
      <c r="AA340" s="276"/>
    </row>
    <row r="341" spans="1:27" ht="13.9" customHeight="1" thickBot="1" x14ac:dyDescent="0.25">
      <c r="A341" s="169" t="s">
        <v>59</v>
      </c>
      <c r="B341" s="170" t="s">
        <v>59</v>
      </c>
      <c r="C341" s="170" t="s">
        <v>59</v>
      </c>
      <c r="D341" s="170" t="s">
        <v>59</v>
      </c>
      <c r="E341" s="170"/>
      <c r="F341" s="170" t="s">
        <v>59</v>
      </c>
      <c r="G341" s="171"/>
      <c r="H341" s="171"/>
      <c r="I341" s="171"/>
      <c r="J341" s="171"/>
      <c r="K341" s="171"/>
      <c r="L341" s="171"/>
      <c r="M341" s="171"/>
      <c r="N341" s="171"/>
      <c r="O341" s="171"/>
      <c r="P341" s="171"/>
      <c r="Q341" s="171"/>
      <c r="R341" s="171"/>
      <c r="S341" s="171"/>
      <c r="T341" s="89"/>
      <c r="U341" s="36"/>
      <c r="V341" s="172"/>
      <c r="AA341" s="276"/>
    </row>
    <row r="342" spans="1:27" ht="15.95" customHeight="1" x14ac:dyDescent="0.2">
      <c r="A342" s="229" t="s">
        <v>59</v>
      </c>
      <c r="B342" s="230" t="s">
        <v>59</v>
      </c>
      <c r="C342" s="230" t="s">
        <v>59</v>
      </c>
      <c r="D342" s="230" t="s">
        <v>59</v>
      </c>
      <c r="E342" s="230"/>
      <c r="F342" s="231" t="s">
        <v>255</v>
      </c>
      <c r="G342" s="232">
        <f t="shared" ref="G342:T342" si="190">G343+G348</f>
        <v>0</v>
      </c>
      <c r="H342" s="232">
        <f t="shared" si="190"/>
        <v>0</v>
      </c>
      <c r="I342" s="232">
        <f t="shared" si="190"/>
        <v>0</v>
      </c>
      <c r="J342" s="232">
        <f t="shared" si="190"/>
        <v>0</v>
      </c>
      <c r="K342" s="232">
        <f t="shared" si="190"/>
        <v>0</v>
      </c>
      <c r="L342" s="232">
        <f t="shared" si="190"/>
        <v>0</v>
      </c>
      <c r="M342" s="232">
        <f t="shared" si="190"/>
        <v>0</v>
      </c>
      <c r="N342" s="232">
        <f t="shared" si="190"/>
        <v>0</v>
      </c>
      <c r="O342" s="232">
        <f t="shared" si="190"/>
        <v>0</v>
      </c>
      <c r="P342" s="232">
        <f t="shared" si="190"/>
        <v>0</v>
      </c>
      <c r="Q342" s="232">
        <f t="shared" si="190"/>
        <v>0</v>
      </c>
      <c r="R342" s="232">
        <f t="shared" si="190"/>
        <v>0</v>
      </c>
      <c r="S342" s="232">
        <f t="shared" si="190"/>
        <v>0</v>
      </c>
      <c r="T342" s="232">
        <f t="shared" si="190"/>
        <v>0</v>
      </c>
      <c r="U342" s="233" t="s">
        <v>31</v>
      </c>
      <c r="V342" s="234">
        <f>V343+V348</f>
        <v>0</v>
      </c>
      <c r="AA342" s="276"/>
    </row>
    <row r="343" spans="1:27" ht="13.9" customHeight="1" x14ac:dyDescent="0.2">
      <c r="A343" s="236">
        <v>32</v>
      </c>
      <c r="B343" s="247" t="s">
        <v>50</v>
      </c>
      <c r="C343" s="248" t="s">
        <v>59</v>
      </c>
      <c r="D343" s="248" t="s">
        <v>59</v>
      </c>
      <c r="E343" s="248"/>
      <c r="F343" s="239" t="s">
        <v>256</v>
      </c>
      <c r="G343" s="239">
        <f t="shared" ref="G343:T343" si="191">SUM(G344:G346)</f>
        <v>0</v>
      </c>
      <c r="H343" s="239">
        <f t="shared" si="191"/>
        <v>0</v>
      </c>
      <c r="I343" s="239">
        <f t="shared" si="191"/>
        <v>0</v>
      </c>
      <c r="J343" s="239">
        <f t="shared" si="191"/>
        <v>0</v>
      </c>
      <c r="K343" s="239">
        <f t="shared" si="191"/>
        <v>0</v>
      </c>
      <c r="L343" s="239">
        <f t="shared" si="191"/>
        <v>0</v>
      </c>
      <c r="M343" s="239">
        <f>SUM(M344:M346)</f>
        <v>0</v>
      </c>
      <c r="N343" s="239">
        <f t="shared" si="191"/>
        <v>0</v>
      </c>
      <c r="O343" s="239">
        <f t="shared" si="191"/>
        <v>0</v>
      </c>
      <c r="P343" s="239">
        <f t="shared" si="191"/>
        <v>0</v>
      </c>
      <c r="Q343" s="239">
        <f t="shared" si="191"/>
        <v>0</v>
      </c>
      <c r="R343" s="239">
        <f t="shared" si="191"/>
        <v>0</v>
      </c>
      <c r="S343" s="239">
        <f t="shared" si="191"/>
        <v>0</v>
      </c>
      <c r="T343" s="244">
        <f t="shared" si="191"/>
        <v>0</v>
      </c>
      <c r="U343" s="245" t="s">
        <v>31</v>
      </c>
      <c r="V343" s="246">
        <f>SUM(V344:V346)</f>
        <v>0</v>
      </c>
      <c r="AA343" s="276"/>
    </row>
    <row r="344" spans="1:27" ht="13.9" customHeight="1" x14ac:dyDescent="0.2">
      <c r="A344" s="236" t="s">
        <v>59</v>
      </c>
      <c r="B344" s="247" t="s">
        <v>59</v>
      </c>
      <c r="C344" s="249" t="s">
        <v>28</v>
      </c>
      <c r="D344" s="250"/>
      <c r="E344" s="249"/>
      <c r="F344" s="251" t="s">
        <v>257</v>
      </c>
      <c r="G344" s="251">
        <f>+G345+G346</f>
        <v>0</v>
      </c>
      <c r="H344" s="251">
        <f t="shared" ref="H344:S344" si="192">+H345+H346</f>
        <v>0</v>
      </c>
      <c r="I344" s="251">
        <f t="shared" si="192"/>
        <v>0</v>
      </c>
      <c r="J344" s="251">
        <f t="shared" si="192"/>
        <v>0</v>
      </c>
      <c r="K344" s="251">
        <f t="shared" si="192"/>
        <v>0</v>
      </c>
      <c r="L344" s="251">
        <f t="shared" si="192"/>
        <v>0</v>
      </c>
      <c r="M344" s="251">
        <f t="shared" si="192"/>
        <v>0</v>
      </c>
      <c r="N344" s="251">
        <f t="shared" si="192"/>
        <v>0</v>
      </c>
      <c r="O344" s="251">
        <f t="shared" si="192"/>
        <v>0</v>
      </c>
      <c r="P344" s="251">
        <f t="shared" si="192"/>
        <v>0</v>
      </c>
      <c r="Q344" s="251">
        <f t="shared" si="192"/>
        <v>0</v>
      </c>
      <c r="R344" s="251">
        <f t="shared" si="192"/>
        <v>0</v>
      </c>
      <c r="S344" s="251">
        <f t="shared" si="192"/>
        <v>0</v>
      </c>
      <c r="T344" s="244">
        <v>0</v>
      </c>
      <c r="U344" s="245" t="s">
        <v>31</v>
      </c>
      <c r="V344" s="252">
        <f t="shared" ref="V344:V346" si="193">+T344-S344</f>
        <v>0</v>
      </c>
      <c r="AA344" s="276"/>
    </row>
    <row r="345" spans="1:27" x14ac:dyDescent="0.2">
      <c r="A345" s="2"/>
      <c r="B345" s="4"/>
      <c r="C345" s="185"/>
      <c r="D345" s="4" t="s">
        <v>86</v>
      </c>
      <c r="E345" s="185"/>
      <c r="F345" s="187" t="s">
        <v>404</v>
      </c>
      <c r="G345" s="187">
        <v>0</v>
      </c>
      <c r="H345" s="187">
        <v>0</v>
      </c>
      <c r="I345" s="187">
        <v>0</v>
      </c>
      <c r="J345" s="187">
        <v>0</v>
      </c>
      <c r="K345" s="187"/>
      <c r="L345" s="187"/>
      <c r="M345" s="187"/>
      <c r="N345" s="187"/>
      <c r="O345" s="187"/>
      <c r="P345" s="187"/>
      <c r="Q345" s="187"/>
      <c r="R345" s="187"/>
      <c r="S345" s="187">
        <f t="shared" ref="S345:S346" si="194">SUM(G345:R345)</f>
        <v>0</v>
      </c>
      <c r="T345" s="139">
        <v>0</v>
      </c>
      <c r="U345" s="51" t="s">
        <v>31</v>
      </c>
      <c r="V345" s="188">
        <f t="shared" si="193"/>
        <v>0</v>
      </c>
      <c r="AA345" s="276"/>
    </row>
    <row r="346" spans="1:27" ht="14.45" customHeight="1" x14ac:dyDescent="0.2">
      <c r="A346" s="57"/>
      <c r="B346" s="58"/>
      <c r="C346" s="174"/>
      <c r="D346" s="58" t="s">
        <v>408</v>
      </c>
      <c r="E346" s="174"/>
      <c r="F346" s="168" t="s">
        <v>409</v>
      </c>
      <c r="G346" s="168">
        <v>0</v>
      </c>
      <c r="H346" s="168">
        <v>0</v>
      </c>
      <c r="I346" s="168">
        <v>0</v>
      </c>
      <c r="J346" s="168">
        <v>0</v>
      </c>
      <c r="K346" s="168"/>
      <c r="L346" s="168"/>
      <c r="M346" s="168"/>
      <c r="N346" s="168"/>
      <c r="O346" s="168"/>
      <c r="P346" s="168"/>
      <c r="Q346" s="168"/>
      <c r="R346" s="168"/>
      <c r="S346" s="168">
        <f t="shared" si="194"/>
        <v>0</v>
      </c>
      <c r="T346" s="138">
        <v>0</v>
      </c>
      <c r="U346" s="51" t="s">
        <v>31</v>
      </c>
      <c r="V346" s="189">
        <f t="shared" si="193"/>
        <v>0</v>
      </c>
      <c r="AA346" s="276"/>
    </row>
    <row r="347" spans="1:27" ht="13.9" customHeight="1" x14ac:dyDescent="0.2">
      <c r="A347" s="2"/>
      <c r="B347" s="4"/>
      <c r="C347" s="185"/>
      <c r="D347" s="186"/>
      <c r="E347" s="185"/>
      <c r="F347" s="185"/>
      <c r="G347" s="187"/>
      <c r="H347" s="187"/>
      <c r="I347" s="187"/>
      <c r="J347" s="187"/>
      <c r="K347" s="187"/>
      <c r="L347" s="187"/>
      <c r="M347" s="187"/>
      <c r="N347" s="168"/>
      <c r="O347" s="187"/>
      <c r="P347" s="187"/>
      <c r="Q347" s="187"/>
      <c r="R347" s="187"/>
      <c r="S347" s="187"/>
      <c r="T347" s="134"/>
      <c r="U347" s="51"/>
      <c r="V347" s="163"/>
      <c r="AA347" s="276"/>
    </row>
    <row r="348" spans="1:27" x14ac:dyDescent="0.2">
      <c r="A348" s="236"/>
      <c r="B348" s="247"/>
      <c r="C348" s="249" t="s">
        <v>32</v>
      </c>
      <c r="D348" s="250"/>
      <c r="E348" s="249"/>
      <c r="F348" s="248" t="s">
        <v>258</v>
      </c>
      <c r="G348" s="239">
        <f t="shared" ref="G348:T348" si="195">SUM(G349:G351)</f>
        <v>0</v>
      </c>
      <c r="H348" s="239">
        <f t="shared" si="195"/>
        <v>0</v>
      </c>
      <c r="I348" s="239">
        <f t="shared" si="195"/>
        <v>0</v>
      </c>
      <c r="J348" s="239">
        <f t="shared" si="195"/>
        <v>0</v>
      </c>
      <c r="K348" s="239">
        <f t="shared" si="195"/>
        <v>0</v>
      </c>
      <c r="L348" s="239">
        <f t="shared" si="195"/>
        <v>0</v>
      </c>
      <c r="M348" s="239">
        <f t="shared" si="195"/>
        <v>0</v>
      </c>
      <c r="N348" s="239">
        <f t="shared" si="195"/>
        <v>0</v>
      </c>
      <c r="O348" s="239">
        <f t="shared" si="195"/>
        <v>0</v>
      </c>
      <c r="P348" s="239">
        <f t="shared" si="195"/>
        <v>0</v>
      </c>
      <c r="Q348" s="239">
        <f t="shared" si="195"/>
        <v>0</v>
      </c>
      <c r="R348" s="239">
        <f t="shared" si="195"/>
        <v>0</v>
      </c>
      <c r="S348" s="239">
        <f t="shared" si="195"/>
        <v>0</v>
      </c>
      <c r="T348" s="244">
        <f t="shared" si="195"/>
        <v>0</v>
      </c>
      <c r="U348" s="245" t="s">
        <v>31</v>
      </c>
      <c r="V348" s="253">
        <f>SUM(V349:V351)</f>
        <v>0</v>
      </c>
      <c r="AA348" s="276"/>
    </row>
    <row r="349" spans="1:27" x14ac:dyDescent="0.2">
      <c r="A349" s="2"/>
      <c r="B349" s="4"/>
      <c r="C349" s="3"/>
      <c r="D349" s="4" t="s">
        <v>238</v>
      </c>
      <c r="E349" s="166"/>
      <c r="F349" s="175" t="s">
        <v>366</v>
      </c>
      <c r="G349" s="175">
        <v>0</v>
      </c>
      <c r="H349" s="175">
        <v>0</v>
      </c>
      <c r="I349" s="175">
        <v>0</v>
      </c>
      <c r="J349" s="175">
        <v>0</v>
      </c>
      <c r="K349" s="175"/>
      <c r="L349" s="175"/>
      <c r="M349" s="175"/>
      <c r="N349" s="175"/>
      <c r="O349" s="175"/>
      <c r="P349" s="175"/>
      <c r="Q349" s="175"/>
      <c r="R349" s="175"/>
      <c r="S349" s="175">
        <f t="shared" ref="S349:S351" si="196">SUM(G349:R349)</f>
        <v>0</v>
      </c>
      <c r="T349" s="136">
        <v>0</v>
      </c>
      <c r="U349" s="51" t="s">
        <v>31</v>
      </c>
      <c r="V349" s="189">
        <f t="shared" ref="V349:V351" si="197">+T349-S349</f>
        <v>0</v>
      </c>
      <c r="AA349" s="276"/>
    </row>
    <row r="350" spans="1:27" ht="13.9" customHeight="1" x14ac:dyDescent="0.2">
      <c r="A350" s="2"/>
      <c r="B350" s="4"/>
      <c r="C350" s="3"/>
      <c r="D350" s="4" t="s">
        <v>239</v>
      </c>
      <c r="E350" s="166"/>
      <c r="F350" s="175" t="s">
        <v>367</v>
      </c>
      <c r="G350" s="175">
        <v>0</v>
      </c>
      <c r="H350" s="175">
        <v>0</v>
      </c>
      <c r="I350" s="175">
        <v>0</v>
      </c>
      <c r="J350" s="175">
        <v>0</v>
      </c>
      <c r="K350" s="175"/>
      <c r="L350" s="175"/>
      <c r="M350" s="175"/>
      <c r="N350" s="175"/>
      <c r="O350" s="175"/>
      <c r="P350" s="175"/>
      <c r="Q350" s="175"/>
      <c r="R350" s="175"/>
      <c r="S350" s="175">
        <f t="shared" si="196"/>
        <v>0</v>
      </c>
      <c r="T350" s="136">
        <v>0</v>
      </c>
      <c r="U350" s="51" t="s">
        <v>31</v>
      </c>
      <c r="V350" s="189">
        <f t="shared" si="197"/>
        <v>0</v>
      </c>
      <c r="AA350" s="276"/>
    </row>
    <row r="351" spans="1:27" ht="13.5" customHeight="1" x14ac:dyDescent="0.2">
      <c r="A351" s="2"/>
      <c r="B351" s="4"/>
      <c r="C351" s="3"/>
      <c r="D351" s="4" t="s">
        <v>85</v>
      </c>
      <c r="E351" s="166"/>
      <c r="F351" s="175" t="s">
        <v>368</v>
      </c>
      <c r="G351" s="175">
        <v>0</v>
      </c>
      <c r="H351" s="175">
        <v>0</v>
      </c>
      <c r="I351" s="175">
        <v>0</v>
      </c>
      <c r="J351" s="175">
        <v>0</v>
      </c>
      <c r="K351" s="175"/>
      <c r="L351" s="175"/>
      <c r="M351" s="175"/>
      <c r="N351" s="175"/>
      <c r="O351" s="175"/>
      <c r="P351" s="175"/>
      <c r="Q351" s="175"/>
      <c r="R351" s="175"/>
      <c r="S351" s="175">
        <f t="shared" si="196"/>
        <v>0</v>
      </c>
      <c r="T351" s="136">
        <v>0</v>
      </c>
      <c r="U351" s="51" t="s">
        <v>31</v>
      </c>
      <c r="V351" s="189">
        <f t="shared" si="197"/>
        <v>0</v>
      </c>
      <c r="AA351" s="276"/>
    </row>
    <row r="352" spans="1:27" ht="13.9" customHeight="1" x14ac:dyDescent="0.2">
      <c r="A352" s="2"/>
      <c r="B352" s="4"/>
      <c r="C352" s="166"/>
      <c r="D352" s="166"/>
      <c r="E352" s="166"/>
      <c r="F352" s="175"/>
      <c r="G352" s="168"/>
      <c r="H352" s="168"/>
      <c r="I352" s="168"/>
      <c r="J352" s="168"/>
      <c r="K352" s="168"/>
      <c r="L352" s="168"/>
      <c r="M352" s="168"/>
      <c r="N352" s="168"/>
      <c r="O352" s="168"/>
      <c r="P352" s="168"/>
      <c r="Q352" s="168"/>
      <c r="R352" s="168"/>
      <c r="S352" s="168"/>
      <c r="T352" s="134"/>
      <c r="U352" s="51"/>
      <c r="V352" s="163"/>
      <c r="AA352" s="276"/>
    </row>
    <row r="353" spans="1:27" ht="15" thickBot="1" x14ac:dyDescent="0.25">
      <c r="A353" s="169"/>
      <c r="B353" s="170"/>
      <c r="C353" s="170"/>
      <c r="D353" s="170"/>
      <c r="E353" s="170"/>
      <c r="F353" s="170"/>
      <c r="G353" s="171"/>
      <c r="H353" s="171"/>
      <c r="I353" s="171"/>
      <c r="J353" s="171"/>
      <c r="K353" s="171"/>
      <c r="L353" s="171"/>
      <c r="M353" s="171"/>
      <c r="N353" s="171"/>
      <c r="O353" s="171"/>
      <c r="P353" s="171"/>
      <c r="Q353" s="171"/>
      <c r="R353" s="171"/>
      <c r="S353" s="171"/>
      <c r="T353" s="89"/>
      <c r="U353" s="36"/>
      <c r="V353" s="172"/>
      <c r="AA353" s="276"/>
    </row>
    <row r="354" spans="1:27" ht="15.95" customHeight="1" x14ac:dyDescent="0.2">
      <c r="A354" s="229" t="s">
        <v>59</v>
      </c>
      <c r="B354" s="230" t="s">
        <v>59</v>
      </c>
      <c r="C354" s="230" t="s">
        <v>59</v>
      </c>
      <c r="D354" s="230" t="s">
        <v>59</v>
      </c>
      <c r="E354" s="230"/>
      <c r="F354" s="231" t="s">
        <v>259</v>
      </c>
      <c r="G354" s="232">
        <f t="shared" ref="G354:T355" si="198">G355</f>
        <v>0</v>
      </c>
      <c r="H354" s="232">
        <f t="shared" si="198"/>
        <v>0</v>
      </c>
      <c r="I354" s="232">
        <f t="shared" si="198"/>
        <v>0</v>
      </c>
      <c r="J354" s="232">
        <f t="shared" si="198"/>
        <v>0</v>
      </c>
      <c r="K354" s="232">
        <f t="shared" si="198"/>
        <v>0</v>
      </c>
      <c r="L354" s="232">
        <f t="shared" si="198"/>
        <v>0</v>
      </c>
      <c r="M354" s="232">
        <f t="shared" si="198"/>
        <v>0</v>
      </c>
      <c r="N354" s="232">
        <f t="shared" si="198"/>
        <v>0</v>
      </c>
      <c r="O354" s="232">
        <f t="shared" si="198"/>
        <v>0</v>
      </c>
      <c r="P354" s="232">
        <f t="shared" si="198"/>
        <v>0</v>
      </c>
      <c r="Q354" s="232">
        <f t="shared" si="198"/>
        <v>0</v>
      </c>
      <c r="R354" s="232">
        <f t="shared" si="198"/>
        <v>0</v>
      </c>
      <c r="S354" s="232">
        <f t="shared" si="198"/>
        <v>0</v>
      </c>
      <c r="T354" s="232">
        <f t="shared" si="198"/>
        <v>0</v>
      </c>
      <c r="U354" s="233" t="s">
        <v>31</v>
      </c>
      <c r="V354" s="234">
        <f>V355</f>
        <v>0</v>
      </c>
      <c r="AA354" s="276"/>
    </row>
    <row r="355" spans="1:27" ht="13.9" customHeight="1" x14ac:dyDescent="0.2">
      <c r="A355" s="236">
        <v>33</v>
      </c>
      <c r="B355" s="247" t="s">
        <v>34</v>
      </c>
      <c r="C355" s="248" t="s">
        <v>59</v>
      </c>
      <c r="D355" s="248" t="s">
        <v>59</v>
      </c>
      <c r="E355" s="248"/>
      <c r="F355" s="239" t="s">
        <v>187</v>
      </c>
      <c r="G355" s="239">
        <f t="shared" si="198"/>
        <v>0</v>
      </c>
      <c r="H355" s="239">
        <f t="shared" si="198"/>
        <v>0</v>
      </c>
      <c r="I355" s="239">
        <f t="shared" si="198"/>
        <v>0</v>
      </c>
      <c r="J355" s="239">
        <f t="shared" si="198"/>
        <v>0</v>
      </c>
      <c r="K355" s="239">
        <f t="shared" si="198"/>
        <v>0</v>
      </c>
      <c r="L355" s="239">
        <f t="shared" si="198"/>
        <v>0</v>
      </c>
      <c r="M355" s="239">
        <f t="shared" si="198"/>
        <v>0</v>
      </c>
      <c r="N355" s="239">
        <f t="shared" si="198"/>
        <v>0</v>
      </c>
      <c r="O355" s="239">
        <f t="shared" si="198"/>
        <v>0</v>
      </c>
      <c r="P355" s="239">
        <f t="shared" si="198"/>
        <v>0</v>
      </c>
      <c r="Q355" s="239">
        <f t="shared" si="198"/>
        <v>0</v>
      </c>
      <c r="R355" s="239">
        <f t="shared" si="198"/>
        <v>0</v>
      </c>
      <c r="S355" s="239">
        <f t="shared" si="198"/>
        <v>0</v>
      </c>
      <c r="T355" s="244">
        <f t="shared" si="198"/>
        <v>0</v>
      </c>
      <c r="U355" s="245" t="s">
        <v>31</v>
      </c>
      <c r="V355" s="246">
        <f>V356</f>
        <v>0</v>
      </c>
      <c r="AA355" s="276"/>
    </row>
    <row r="356" spans="1:27" x14ac:dyDescent="0.2">
      <c r="A356" s="2" t="s">
        <v>59</v>
      </c>
      <c r="B356" s="2" t="s">
        <v>59</v>
      </c>
      <c r="C356" s="166" t="s">
        <v>28</v>
      </c>
      <c r="D356" s="166" t="s">
        <v>59</v>
      </c>
      <c r="E356" s="166"/>
      <c r="F356" s="175" t="s">
        <v>188</v>
      </c>
      <c r="G356" s="168">
        <v>0</v>
      </c>
      <c r="H356" s="168">
        <v>0</v>
      </c>
      <c r="I356" s="168">
        <v>0</v>
      </c>
      <c r="J356" s="168">
        <v>0</v>
      </c>
      <c r="K356" s="168"/>
      <c r="L356" s="168"/>
      <c r="M356" s="168"/>
      <c r="N356" s="168"/>
      <c r="O356" s="168"/>
      <c r="P356" s="168"/>
      <c r="Q356" s="168"/>
      <c r="R356" s="168"/>
      <c r="S356" s="168">
        <f>SUM(G356:R356)</f>
        <v>0</v>
      </c>
      <c r="T356" s="134">
        <v>0</v>
      </c>
      <c r="U356" s="51" t="s">
        <v>31</v>
      </c>
      <c r="V356" s="189">
        <f>+T356-S356</f>
        <v>0</v>
      </c>
      <c r="AA356" s="276"/>
    </row>
    <row r="357" spans="1:27" ht="13.9" customHeight="1" thickBot="1" x14ac:dyDescent="0.25">
      <c r="A357" s="169"/>
      <c r="B357" s="170"/>
      <c r="C357" s="170"/>
      <c r="D357" s="170"/>
      <c r="E357" s="170"/>
      <c r="F357" s="170"/>
      <c r="G357" s="171"/>
      <c r="H357" s="171"/>
      <c r="I357" s="171"/>
      <c r="J357" s="171"/>
      <c r="K357" s="171"/>
      <c r="L357" s="171"/>
      <c r="M357" s="171"/>
      <c r="N357" s="171"/>
      <c r="O357" s="171"/>
      <c r="P357" s="171"/>
      <c r="Q357" s="171"/>
      <c r="R357" s="171"/>
      <c r="S357" s="171"/>
      <c r="T357" s="89"/>
      <c r="U357" s="36"/>
      <c r="V357" s="172"/>
      <c r="AA357" s="276"/>
    </row>
    <row r="358" spans="1:27" ht="15.95" customHeight="1" x14ac:dyDescent="0.2">
      <c r="A358" s="229" t="s">
        <v>59</v>
      </c>
      <c r="B358" s="230" t="s">
        <v>59</v>
      </c>
      <c r="C358" s="230" t="s">
        <v>59</v>
      </c>
      <c r="D358" s="230" t="s">
        <v>59</v>
      </c>
      <c r="E358" s="230"/>
      <c r="F358" s="231" t="s">
        <v>260</v>
      </c>
      <c r="G358" s="232">
        <f t="shared" ref="G358:T358" si="199">+G359+G361</f>
        <v>4053255598</v>
      </c>
      <c r="H358" s="232">
        <f t="shared" ref="H358:I358" si="200">+H359+H361</f>
        <v>-19943460</v>
      </c>
      <c r="I358" s="232">
        <f t="shared" si="200"/>
        <v>0</v>
      </c>
      <c r="J358" s="232">
        <f t="shared" ref="J358:R358" si="201">+J359+J361</f>
        <v>0</v>
      </c>
      <c r="K358" s="232">
        <f t="shared" si="201"/>
        <v>0</v>
      </c>
      <c r="L358" s="232">
        <f t="shared" si="201"/>
        <v>0</v>
      </c>
      <c r="M358" s="232">
        <f t="shared" si="201"/>
        <v>0</v>
      </c>
      <c r="N358" s="232">
        <f t="shared" si="201"/>
        <v>0</v>
      </c>
      <c r="O358" s="232">
        <f t="shared" si="201"/>
        <v>0</v>
      </c>
      <c r="P358" s="232">
        <f t="shared" si="201"/>
        <v>0</v>
      </c>
      <c r="Q358" s="232">
        <f t="shared" si="201"/>
        <v>0</v>
      </c>
      <c r="R358" s="232">
        <f t="shared" si="201"/>
        <v>0</v>
      </c>
      <c r="S358" s="232">
        <f t="shared" si="199"/>
        <v>4033312138</v>
      </c>
      <c r="T358" s="232">
        <f t="shared" si="199"/>
        <v>10000</v>
      </c>
      <c r="U358" s="233">
        <f>+S358/T358</f>
        <v>403331.21380000003</v>
      </c>
      <c r="V358" s="234">
        <f>+V359+V361</f>
        <v>-4033302138</v>
      </c>
      <c r="AA358" s="276"/>
    </row>
    <row r="359" spans="1:27" x14ac:dyDescent="0.2">
      <c r="A359" s="2">
        <v>34</v>
      </c>
      <c r="B359" s="4" t="s">
        <v>140</v>
      </c>
      <c r="C359" s="3" t="s">
        <v>59</v>
      </c>
      <c r="D359" s="3" t="s">
        <v>59</v>
      </c>
      <c r="E359" s="3"/>
      <c r="F359" s="8" t="s">
        <v>260</v>
      </c>
      <c r="G359" s="9">
        <f>G360</f>
        <v>0</v>
      </c>
      <c r="H359" s="9">
        <f>H360</f>
        <v>0</v>
      </c>
      <c r="I359" s="9">
        <f t="shared" ref="I359:R359" si="202">I360</f>
        <v>0</v>
      </c>
      <c r="J359" s="9">
        <f t="shared" si="202"/>
        <v>0</v>
      </c>
      <c r="K359" s="9">
        <f t="shared" si="202"/>
        <v>0</v>
      </c>
      <c r="L359" s="9">
        <f t="shared" si="202"/>
        <v>0</v>
      </c>
      <c r="M359" s="9">
        <f t="shared" si="202"/>
        <v>0</v>
      </c>
      <c r="N359" s="9">
        <f t="shared" si="202"/>
        <v>0</v>
      </c>
      <c r="O359" s="9">
        <f t="shared" si="202"/>
        <v>0</v>
      </c>
      <c r="P359" s="9">
        <f t="shared" si="202"/>
        <v>0</v>
      </c>
      <c r="Q359" s="9">
        <f t="shared" si="202"/>
        <v>0</v>
      </c>
      <c r="R359" s="9">
        <f t="shared" si="202"/>
        <v>0</v>
      </c>
      <c r="S359" s="9">
        <f>S360</f>
        <v>0</v>
      </c>
      <c r="T359" s="134">
        <f>T360</f>
        <v>0</v>
      </c>
      <c r="U359" s="51" t="s">
        <v>31</v>
      </c>
      <c r="V359" s="48">
        <f>V360</f>
        <v>0</v>
      </c>
      <c r="AA359" s="276"/>
    </row>
    <row r="360" spans="1:27" ht="15" x14ac:dyDescent="0.2">
      <c r="A360" s="2" t="s">
        <v>59</v>
      </c>
      <c r="B360" s="4" t="s">
        <v>59</v>
      </c>
      <c r="C360" s="183"/>
      <c r="D360" s="166" t="s">
        <v>59</v>
      </c>
      <c r="E360" s="166"/>
      <c r="F360" s="269"/>
      <c r="G360" s="9">
        <v>0</v>
      </c>
      <c r="H360" s="9">
        <v>0</v>
      </c>
      <c r="I360" s="168">
        <v>0</v>
      </c>
      <c r="J360" s="168">
        <v>0</v>
      </c>
      <c r="K360" s="168"/>
      <c r="L360" s="168"/>
      <c r="M360" s="168"/>
      <c r="N360" s="168"/>
      <c r="O360" s="168"/>
      <c r="P360" s="168"/>
      <c r="Q360" s="168"/>
      <c r="R360" s="168"/>
      <c r="S360" s="9">
        <f>SUM(G360:R360)</f>
        <v>0</v>
      </c>
      <c r="T360" s="134">
        <v>0</v>
      </c>
      <c r="U360" s="50" t="s">
        <v>31</v>
      </c>
      <c r="V360" s="12">
        <f>+T360-S360</f>
        <v>0</v>
      </c>
      <c r="AA360" s="276"/>
    </row>
    <row r="361" spans="1:27" ht="18" customHeight="1" x14ac:dyDescent="0.2">
      <c r="A361" s="236">
        <v>34</v>
      </c>
      <c r="B361" s="247" t="s">
        <v>140</v>
      </c>
      <c r="C361" s="248"/>
      <c r="D361" s="248" t="s">
        <v>59</v>
      </c>
      <c r="E361" s="248"/>
      <c r="F361" s="239" t="s">
        <v>261</v>
      </c>
      <c r="G361" s="239">
        <f>SUM(G362:G367)</f>
        <v>4053255598</v>
      </c>
      <c r="H361" s="239">
        <f>SUM(H362:H367)</f>
        <v>-19943460</v>
      </c>
      <c r="I361" s="239">
        <f t="shared" ref="I361" si="203">SUM(I362:I365)</f>
        <v>0</v>
      </c>
      <c r="J361" s="239">
        <f t="shared" ref="J361:R361" si="204">SUM(J362:J365)</f>
        <v>0</v>
      </c>
      <c r="K361" s="239">
        <f t="shared" si="204"/>
        <v>0</v>
      </c>
      <c r="L361" s="239">
        <f t="shared" si="204"/>
        <v>0</v>
      </c>
      <c r="M361" s="239">
        <f t="shared" si="204"/>
        <v>0</v>
      </c>
      <c r="N361" s="239">
        <f t="shared" si="204"/>
        <v>0</v>
      </c>
      <c r="O361" s="239">
        <f t="shared" si="204"/>
        <v>0</v>
      </c>
      <c r="P361" s="239">
        <f t="shared" si="204"/>
        <v>0</v>
      </c>
      <c r="Q361" s="239">
        <f t="shared" si="204"/>
        <v>0</v>
      </c>
      <c r="R361" s="239">
        <f t="shared" si="204"/>
        <v>0</v>
      </c>
      <c r="S361" s="239">
        <f>S362+S363+S364+S365+S366+S367</f>
        <v>4033312138</v>
      </c>
      <c r="T361" s="244">
        <f>T363+T364+T366+T367</f>
        <v>10000</v>
      </c>
      <c r="U361" s="245">
        <f t="shared" ref="U361" si="205">+S361/T361</f>
        <v>403331.21380000003</v>
      </c>
      <c r="V361" s="246">
        <f>SUM(V362:V367)</f>
        <v>-4033302138</v>
      </c>
      <c r="AA361" s="276"/>
    </row>
    <row r="362" spans="1:27" x14ac:dyDescent="0.2">
      <c r="A362" s="2" t="s">
        <v>59</v>
      </c>
      <c r="B362" s="4" t="s">
        <v>59</v>
      </c>
      <c r="C362" s="166" t="s">
        <v>32</v>
      </c>
      <c r="D362" s="166" t="s">
        <v>59</v>
      </c>
      <c r="E362" s="166"/>
      <c r="F362" s="175" t="s">
        <v>262</v>
      </c>
      <c r="G362" s="168">
        <v>0</v>
      </c>
      <c r="H362" s="168">
        <v>0</v>
      </c>
      <c r="I362" s="168">
        <v>0</v>
      </c>
      <c r="J362" s="168">
        <v>0</v>
      </c>
      <c r="K362" s="168"/>
      <c r="L362" s="168"/>
      <c r="M362" s="168"/>
      <c r="N362" s="168"/>
      <c r="O362" s="168"/>
      <c r="P362" s="168"/>
      <c r="Q362" s="168"/>
      <c r="R362" s="168"/>
      <c r="S362" s="168">
        <f t="shared" ref="S362:S367" si="206">SUM(G362:R362)</f>
        <v>0</v>
      </c>
      <c r="T362" s="134">
        <v>0</v>
      </c>
      <c r="U362" s="51" t="s">
        <v>31</v>
      </c>
      <c r="V362" s="163">
        <f t="shared" ref="V362:V367" si="207">+T362-S362</f>
        <v>0</v>
      </c>
      <c r="AA362" s="276"/>
    </row>
    <row r="363" spans="1:27" x14ac:dyDescent="0.2">
      <c r="A363" s="2" t="s">
        <v>59</v>
      </c>
      <c r="B363" s="4" t="s">
        <v>59</v>
      </c>
      <c r="C363" s="166" t="s">
        <v>63</v>
      </c>
      <c r="D363" s="166" t="s">
        <v>59</v>
      </c>
      <c r="E363" s="166"/>
      <c r="F363" s="175" t="s">
        <v>263</v>
      </c>
      <c r="G363" s="92">
        <v>3593989032</v>
      </c>
      <c r="H363" s="168">
        <v>-19943460</v>
      </c>
      <c r="I363" s="168">
        <v>0</v>
      </c>
      <c r="J363" s="168">
        <v>0</v>
      </c>
      <c r="K363" s="168"/>
      <c r="L363" s="168"/>
      <c r="M363" s="168"/>
      <c r="N363" s="168"/>
      <c r="O363" s="168"/>
      <c r="P363" s="168"/>
      <c r="Q363" s="168"/>
      <c r="R363" s="168"/>
      <c r="S363" s="168">
        <f t="shared" si="206"/>
        <v>3574045572</v>
      </c>
      <c r="T363" s="33">
        <v>10000</v>
      </c>
      <c r="U363" s="51">
        <f>+S363/T363</f>
        <v>357404.55719999998</v>
      </c>
      <c r="V363" s="163">
        <f t="shared" si="207"/>
        <v>-3574035572</v>
      </c>
      <c r="AA363" s="276"/>
    </row>
    <row r="364" spans="1:27" x14ac:dyDescent="0.2">
      <c r="A364" s="2" t="s">
        <v>59</v>
      </c>
      <c r="B364" s="4" t="s">
        <v>59</v>
      </c>
      <c r="C364" s="166" t="s">
        <v>64</v>
      </c>
      <c r="D364" s="166" t="s">
        <v>59</v>
      </c>
      <c r="E364" s="166"/>
      <c r="F364" s="175" t="s">
        <v>264</v>
      </c>
      <c r="G364" s="92">
        <v>209011541</v>
      </c>
      <c r="H364" s="168">
        <v>0</v>
      </c>
      <c r="I364" s="168">
        <v>0</v>
      </c>
      <c r="J364" s="168">
        <v>0</v>
      </c>
      <c r="K364" s="168"/>
      <c r="L364" s="168"/>
      <c r="M364" s="168"/>
      <c r="N364" s="168"/>
      <c r="O364" s="168"/>
      <c r="P364" s="168"/>
      <c r="Q364" s="168"/>
      <c r="R364" s="168"/>
      <c r="S364" s="168">
        <f t="shared" si="206"/>
        <v>209011541</v>
      </c>
      <c r="T364" s="33">
        <v>0</v>
      </c>
      <c r="U364" s="51" t="s">
        <v>31</v>
      </c>
      <c r="V364" s="163">
        <f t="shared" si="207"/>
        <v>-209011541</v>
      </c>
      <c r="AA364" s="276"/>
    </row>
    <row r="365" spans="1:27" x14ac:dyDescent="0.2">
      <c r="A365" s="2" t="s">
        <v>59</v>
      </c>
      <c r="B365" s="4" t="s">
        <v>59</v>
      </c>
      <c r="C365" s="166" t="s">
        <v>74</v>
      </c>
      <c r="D365" s="166" t="s">
        <v>59</v>
      </c>
      <c r="E365" s="166"/>
      <c r="F365" s="175" t="s">
        <v>265</v>
      </c>
      <c r="G365" s="168">
        <v>7321100</v>
      </c>
      <c r="H365" s="168">
        <v>0</v>
      </c>
      <c r="I365" s="168">
        <v>0</v>
      </c>
      <c r="J365" s="168">
        <v>0</v>
      </c>
      <c r="K365" s="168"/>
      <c r="L365" s="168"/>
      <c r="M365" s="168"/>
      <c r="N365" s="168"/>
      <c r="O365" s="168"/>
      <c r="P365" s="168"/>
      <c r="Q365" s="168"/>
      <c r="R365" s="168"/>
      <c r="S365" s="168">
        <f t="shared" si="206"/>
        <v>7321100</v>
      </c>
      <c r="T365" s="33">
        <v>0</v>
      </c>
      <c r="U365" s="51" t="s">
        <v>31</v>
      </c>
      <c r="V365" s="163">
        <f t="shared" si="207"/>
        <v>-7321100</v>
      </c>
      <c r="AA365" s="276"/>
    </row>
    <row r="366" spans="1:27" x14ac:dyDescent="0.2">
      <c r="A366" s="2" t="s">
        <v>59</v>
      </c>
      <c r="B366" s="4" t="s">
        <v>59</v>
      </c>
      <c r="C366" s="183" t="s">
        <v>75</v>
      </c>
      <c r="D366" s="166" t="s">
        <v>59</v>
      </c>
      <c r="E366" s="166"/>
      <c r="F366" s="175" t="s">
        <v>414</v>
      </c>
      <c r="G366" s="168">
        <v>0</v>
      </c>
      <c r="H366" s="168">
        <v>0</v>
      </c>
      <c r="I366" s="168">
        <v>0</v>
      </c>
      <c r="J366" s="168">
        <v>0</v>
      </c>
      <c r="K366" s="168"/>
      <c r="L366" s="168"/>
      <c r="M366" s="168"/>
      <c r="N366" s="168"/>
      <c r="O366" s="168"/>
      <c r="P366" s="168"/>
      <c r="Q366" s="168"/>
      <c r="R366" s="168"/>
      <c r="S366" s="168">
        <f t="shared" si="206"/>
        <v>0</v>
      </c>
      <c r="T366" s="33">
        <v>0</v>
      </c>
      <c r="U366" s="51" t="s">
        <v>31</v>
      </c>
      <c r="V366" s="163">
        <f t="shared" si="207"/>
        <v>0</v>
      </c>
      <c r="AA366" s="276"/>
    </row>
    <row r="367" spans="1:27" x14ac:dyDescent="0.2">
      <c r="A367" s="2" t="s">
        <v>59</v>
      </c>
      <c r="B367" s="4" t="s">
        <v>59</v>
      </c>
      <c r="C367" s="183" t="s">
        <v>76</v>
      </c>
      <c r="D367" s="166" t="s">
        <v>59</v>
      </c>
      <c r="E367" s="166"/>
      <c r="F367" s="175" t="s">
        <v>430</v>
      </c>
      <c r="G367" s="92">
        <v>242933925</v>
      </c>
      <c r="H367" s="168">
        <v>0</v>
      </c>
      <c r="I367" s="168">
        <v>0</v>
      </c>
      <c r="J367" s="168">
        <v>0</v>
      </c>
      <c r="K367" s="168"/>
      <c r="L367" s="168"/>
      <c r="M367" s="168"/>
      <c r="N367" s="168"/>
      <c r="O367" s="168"/>
      <c r="P367" s="168"/>
      <c r="Q367" s="168"/>
      <c r="R367" s="168"/>
      <c r="S367" s="168">
        <f t="shared" si="206"/>
        <v>242933925</v>
      </c>
      <c r="T367" s="33">
        <v>0</v>
      </c>
      <c r="U367" s="51" t="s">
        <v>31</v>
      </c>
      <c r="V367" s="163">
        <f t="shared" si="207"/>
        <v>-242933925</v>
      </c>
      <c r="AA367" s="276"/>
    </row>
    <row r="368" spans="1:27" ht="13.9" customHeight="1" thickBot="1" x14ac:dyDescent="0.25">
      <c r="A368" s="169"/>
      <c r="B368" s="170"/>
      <c r="C368" s="170"/>
      <c r="D368" s="170"/>
      <c r="E368" s="170"/>
      <c r="F368" s="170"/>
      <c r="G368" s="171"/>
      <c r="H368" s="171"/>
      <c r="I368" s="171"/>
      <c r="J368" s="171"/>
      <c r="K368" s="171"/>
      <c r="L368" s="171"/>
      <c r="M368" s="171"/>
      <c r="N368" s="171"/>
      <c r="O368" s="171"/>
      <c r="P368" s="171"/>
      <c r="Q368" s="171"/>
      <c r="R368" s="171"/>
      <c r="S368" s="171"/>
      <c r="T368" s="89"/>
      <c r="U368" s="36"/>
      <c r="V368" s="172"/>
      <c r="AA368" s="276"/>
    </row>
    <row r="369" spans="1:27" ht="15.95" customHeight="1" x14ac:dyDescent="0.2">
      <c r="A369" s="229" t="s">
        <v>59</v>
      </c>
      <c r="B369" s="230" t="s">
        <v>59</v>
      </c>
      <c r="C369" s="230" t="s">
        <v>59</v>
      </c>
      <c r="D369" s="230" t="s">
        <v>59</v>
      </c>
      <c r="E369" s="230"/>
      <c r="F369" s="231" t="s">
        <v>266</v>
      </c>
      <c r="G369" s="232">
        <f>G370</f>
        <v>0</v>
      </c>
      <c r="H369" s="232">
        <f>H370</f>
        <v>0</v>
      </c>
      <c r="I369" s="232">
        <f t="shared" ref="I369:R369" si="208">I370</f>
        <v>0</v>
      </c>
      <c r="J369" s="232">
        <f t="shared" si="208"/>
        <v>0</v>
      </c>
      <c r="K369" s="232">
        <f t="shared" si="208"/>
        <v>0</v>
      </c>
      <c r="L369" s="232">
        <f t="shared" si="208"/>
        <v>0</v>
      </c>
      <c r="M369" s="232">
        <f t="shared" si="208"/>
        <v>0</v>
      </c>
      <c r="N369" s="232">
        <f t="shared" si="208"/>
        <v>0</v>
      </c>
      <c r="O369" s="232">
        <f t="shared" si="208"/>
        <v>0</v>
      </c>
      <c r="P369" s="232">
        <f t="shared" si="208"/>
        <v>0</v>
      </c>
      <c r="Q369" s="232">
        <f t="shared" si="208"/>
        <v>0</v>
      </c>
      <c r="R369" s="232">
        <f t="shared" si="208"/>
        <v>0</v>
      </c>
      <c r="S369" s="232">
        <f t="shared" ref="S369:T369" si="209">S370</f>
        <v>0</v>
      </c>
      <c r="T369" s="232">
        <f t="shared" si="209"/>
        <v>0</v>
      </c>
      <c r="U369" s="233" t="s">
        <v>31</v>
      </c>
      <c r="V369" s="234">
        <f>V370</f>
        <v>0</v>
      </c>
      <c r="AA369" s="276"/>
    </row>
    <row r="370" spans="1:27" ht="13.9" customHeight="1" x14ac:dyDescent="0.2">
      <c r="A370" s="2">
        <v>35</v>
      </c>
      <c r="B370" s="2" t="s">
        <v>59</v>
      </c>
      <c r="C370" s="166" t="s">
        <v>59</v>
      </c>
      <c r="D370" s="166" t="s">
        <v>59</v>
      </c>
      <c r="E370" s="166"/>
      <c r="F370" s="175" t="s">
        <v>267</v>
      </c>
      <c r="G370" s="168">
        <v>0</v>
      </c>
      <c r="H370" s="168">
        <v>0</v>
      </c>
      <c r="I370" s="168">
        <v>0</v>
      </c>
      <c r="J370" s="168"/>
      <c r="K370" s="168"/>
      <c r="L370" s="168"/>
      <c r="M370" s="168"/>
      <c r="N370" s="168"/>
      <c r="O370" s="168"/>
      <c r="P370" s="168"/>
      <c r="Q370" s="168"/>
      <c r="R370" s="168"/>
      <c r="S370" s="168">
        <f t="shared" ref="S370" si="210">SUM(G370:R370)</f>
        <v>0</v>
      </c>
      <c r="T370" s="33">
        <v>0</v>
      </c>
      <c r="U370" s="51" t="s">
        <v>31</v>
      </c>
      <c r="V370" s="163">
        <f>+T370-S370</f>
        <v>0</v>
      </c>
      <c r="AA370" s="276"/>
    </row>
    <row r="371" spans="1:27" ht="13.9" customHeight="1" x14ac:dyDescent="0.2">
      <c r="A371" s="169"/>
      <c r="B371" s="170"/>
      <c r="C371" s="170"/>
      <c r="D371" s="170"/>
      <c r="E371" s="170"/>
      <c r="F371" s="170"/>
      <c r="G371" s="171"/>
      <c r="H371" s="171"/>
      <c r="I371" s="171"/>
      <c r="J371" s="171"/>
      <c r="K371" s="171"/>
      <c r="L371" s="171"/>
      <c r="M371" s="171"/>
      <c r="N371" s="171"/>
      <c r="O371" s="171"/>
      <c r="P371" s="171"/>
      <c r="Q371" s="171"/>
      <c r="R371" s="171"/>
      <c r="S371" s="171"/>
      <c r="T371" s="140"/>
      <c r="U371" s="36"/>
      <c r="V371" s="172"/>
      <c r="AA371" s="276"/>
    </row>
    <row r="372" spans="1:27" ht="17.25" customHeight="1" x14ac:dyDescent="0.2">
      <c r="A372" s="151" t="s">
        <v>59</v>
      </c>
      <c r="B372" s="151" t="s">
        <v>59</v>
      </c>
      <c r="C372" s="151" t="s">
        <v>59</v>
      </c>
      <c r="D372" s="152" t="s">
        <v>59</v>
      </c>
      <c r="E372" s="152"/>
      <c r="F372" s="208" t="s">
        <v>356</v>
      </c>
      <c r="G372" s="153">
        <f t="shared" ref="G372:T372" si="211">+G369+G358+G354+G342+G245+G210+G200+G186+G180+G93+G46+G206</f>
        <v>23925817934</v>
      </c>
      <c r="H372" s="153">
        <f t="shared" si="211"/>
        <v>24622576151</v>
      </c>
      <c r="I372" s="153">
        <f t="shared" si="211"/>
        <v>49304947610</v>
      </c>
      <c r="J372" s="153">
        <f t="shared" si="211"/>
        <v>23389738634</v>
      </c>
      <c r="K372" s="153">
        <f t="shared" si="211"/>
        <v>0</v>
      </c>
      <c r="L372" s="153">
        <f t="shared" si="211"/>
        <v>0</v>
      </c>
      <c r="M372" s="153">
        <f t="shared" si="211"/>
        <v>0</v>
      </c>
      <c r="N372" s="153">
        <f t="shared" si="211"/>
        <v>0</v>
      </c>
      <c r="O372" s="153">
        <f t="shared" si="211"/>
        <v>0</v>
      </c>
      <c r="P372" s="153">
        <f t="shared" si="211"/>
        <v>0</v>
      </c>
      <c r="Q372" s="153">
        <f t="shared" si="211"/>
        <v>0</v>
      </c>
      <c r="R372" s="153">
        <f t="shared" si="211"/>
        <v>0</v>
      </c>
      <c r="S372" s="153">
        <f t="shared" si="211"/>
        <v>121243080329</v>
      </c>
      <c r="T372" s="154">
        <f t="shared" si="211"/>
        <v>295374855000</v>
      </c>
      <c r="U372" s="155">
        <f t="shared" ref="U372" si="212">+S372/T372</f>
        <v>0.41047190807423334</v>
      </c>
      <c r="V372" s="156">
        <f>+V369+V358+V354+V342+V245+V210+V200+V186+V180+V93+V46+V206</f>
        <v>174131774671</v>
      </c>
      <c r="AA372" s="276"/>
    </row>
    <row r="373" spans="1:27" ht="14.45" customHeight="1" x14ac:dyDescent="0.2">
      <c r="R373" s="31">
        <v>0</v>
      </c>
      <c r="T373" s="74"/>
    </row>
    <row r="374" spans="1:27" ht="13.9" customHeight="1" x14ac:dyDescent="0.2">
      <c r="D374" s="38"/>
      <c r="E374" s="38"/>
      <c r="F374" s="82" t="s">
        <v>312</v>
      </c>
      <c r="G374" s="225">
        <f t="shared" ref="G374:R374" si="213">+G10-G45</f>
        <v>-874182165</v>
      </c>
      <c r="H374" s="226">
        <f t="shared" si="213"/>
        <v>21229084</v>
      </c>
      <c r="I374" s="227">
        <f t="shared" si="213"/>
        <v>-2244279372</v>
      </c>
      <c r="J374" s="227">
        <f t="shared" si="213"/>
        <v>2061741000</v>
      </c>
      <c r="K374" s="227">
        <f t="shared" si="213"/>
        <v>0</v>
      </c>
      <c r="L374" s="227">
        <f t="shared" si="213"/>
        <v>0</v>
      </c>
      <c r="M374" s="227">
        <f t="shared" si="213"/>
        <v>0</v>
      </c>
      <c r="N374" s="227">
        <f t="shared" si="213"/>
        <v>0</v>
      </c>
      <c r="O374" s="227">
        <f t="shared" si="213"/>
        <v>0</v>
      </c>
      <c r="P374" s="227">
        <f t="shared" si="213"/>
        <v>0</v>
      </c>
      <c r="Q374" s="227">
        <f t="shared" si="213"/>
        <v>0</v>
      </c>
      <c r="R374" s="227">
        <f t="shared" si="213"/>
        <v>0</v>
      </c>
      <c r="S374" s="228"/>
      <c r="T374" s="39"/>
      <c r="U374" s="39"/>
    </row>
    <row r="375" spans="1:27" ht="14.45" customHeight="1" x14ac:dyDescent="0.2">
      <c r="D375" s="34">
        <v>11102</v>
      </c>
      <c r="E375" s="38"/>
      <c r="F375" s="83" t="s">
        <v>313</v>
      </c>
      <c r="G375" s="33">
        <v>397888093</v>
      </c>
      <c r="H375" s="86">
        <v>692589201</v>
      </c>
      <c r="I375" s="22">
        <v>5490934400</v>
      </c>
      <c r="J375" s="22">
        <v>2123113064</v>
      </c>
      <c r="K375" s="22"/>
      <c r="L375" s="22"/>
      <c r="M375" s="22"/>
      <c r="N375" s="22"/>
      <c r="O375" s="22"/>
      <c r="P375" s="22"/>
      <c r="Q375" s="22"/>
      <c r="R375" s="22"/>
      <c r="S375" s="41"/>
      <c r="T375" s="31"/>
      <c r="U375" s="31"/>
      <c r="V375" s="41"/>
    </row>
    <row r="376" spans="1:27" ht="13.9" customHeight="1" x14ac:dyDescent="0.2">
      <c r="D376" s="34">
        <v>11201</v>
      </c>
      <c r="E376" s="38"/>
      <c r="F376" s="83" t="s">
        <v>314</v>
      </c>
      <c r="G376" s="22">
        <v>9568183</v>
      </c>
      <c r="H376" s="86">
        <v>6632786</v>
      </c>
      <c r="I376" s="22">
        <v>2458660</v>
      </c>
      <c r="J376" s="22">
        <v>430494</v>
      </c>
      <c r="K376" s="22"/>
      <c r="L376" s="22"/>
      <c r="M376" s="22"/>
      <c r="N376" s="22"/>
      <c r="O376" s="22"/>
      <c r="P376" s="22"/>
      <c r="Q376" s="22"/>
      <c r="R376" s="22"/>
      <c r="T376" s="31"/>
      <c r="U376" s="31"/>
      <c r="V376" s="31"/>
    </row>
    <row r="377" spans="1:27" ht="14.45" customHeight="1" x14ac:dyDescent="0.2">
      <c r="D377" s="34">
        <v>11401</v>
      </c>
      <c r="E377" s="38"/>
      <c r="F377" s="83" t="s">
        <v>315</v>
      </c>
      <c r="G377" s="22">
        <v>80000</v>
      </c>
      <c r="H377" s="86">
        <v>142586</v>
      </c>
      <c r="I377" s="22">
        <v>62586</v>
      </c>
      <c r="J377" s="22">
        <v>0</v>
      </c>
      <c r="K377" s="22"/>
      <c r="L377" s="22"/>
      <c r="M377" s="22"/>
      <c r="N377" s="22"/>
      <c r="O377" s="22"/>
      <c r="P377" s="22"/>
      <c r="Q377" s="22"/>
      <c r="R377" s="22"/>
      <c r="T377" s="31"/>
      <c r="U377" s="31"/>
      <c r="V377" s="31"/>
    </row>
    <row r="378" spans="1:27" ht="13.9" customHeight="1" x14ac:dyDescent="0.2">
      <c r="D378" s="34">
        <v>11402</v>
      </c>
      <c r="E378" s="38"/>
      <c r="F378" s="83" t="s">
        <v>316</v>
      </c>
      <c r="G378" s="22">
        <v>0</v>
      </c>
      <c r="H378" s="86">
        <v>0</v>
      </c>
      <c r="I378" s="22">
        <v>0</v>
      </c>
      <c r="J378" s="22">
        <v>0</v>
      </c>
      <c r="K378" s="22"/>
      <c r="L378" s="22"/>
      <c r="M378" s="22"/>
      <c r="N378" s="22"/>
      <c r="O378" s="22"/>
      <c r="P378" s="22"/>
      <c r="Q378" s="22"/>
      <c r="R378" s="22"/>
      <c r="T378" s="31"/>
      <c r="U378" s="31"/>
      <c r="V378" s="31"/>
    </row>
    <row r="379" spans="1:27" ht="14.45" customHeight="1" x14ac:dyDescent="0.2">
      <c r="D379" s="34">
        <v>11403</v>
      </c>
      <c r="E379" s="38"/>
      <c r="F379" s="83" t="s">
        <v>317</v>
      </c>
      <c r="G379" s="33">
        <v>195985841</v>
      </c>
      <c r="H379" s="86">
        <v>207630180</v>
      </c>
      <c r="I379" s="22">
        <v>222519299</v>
      </c>
      <c r="J379" s="22">
        <v>224723442</v>
      </c>
      <c r="K379" s="22"/>
      <c r="L379" s="22"/>
      <c r="M379" s="22"/>
      <c r="N379" s="22"/>
      <c r="O379" s="22"/>
      <c r="P379" s="22"/>
      <c r="Q379" s="22"/>
      <c r="R379" s="22"/>
      <c r="T379" s="31"/>
      <c r="U379" s="31"/>
      <c r="V379" s="31"/>
    </row>
    <row r="380" spans="1:27" x14ac:dyDescent="0.2">
      <c r="D380" s="34">
        <v>11405</v>
      </c>
      <c r="E380" s="38"/>
      <c r="F380" s="83" t="s">
        <v>318</v>
      </c>
      <c r="G380" s="22">
        <v>0</v>
      </c>
      <c r="H380" s="86">
        <v>0</v>
      </c>
      <c r="I380" s="22">
        <v>0</v>
      </c>
      <c r="J380" s="22">
        <v>1735610</v>
      </c>
      <c r="K380" s="22"/>
      <c r="L380" s="22"/>
      <c r="M380" s="22"/>
      <c r="N380" s="22"/>
      <c r="O380" s="22"/>
      <c r="P380" s="22"/>
      <c r="Q380" s="22"/>
      <c r="R380" s="22"/>
      <c r="T380" s="31"/>
      <c r="U380" s="31"/>
      <c r="V380" s="31"/>
    </row>
    <row r="381" spans="1:27" ht="14.45" customHeight="1" x14ac:dyDescent="0.2">
      <c r="D381" s="34">
        <v>11406</v>
      </c>
      <c r="E381" s="38"/>
      <c r="F381" s="83" t="s">
        <v>319</v>
      </c>
      <c r="G381" s="33">
        <v>5681124</v>
      </c>
      <c r="H381" s="86">
        <v>1713313</v>
      </c>
      <c r="I381" s="22">
        <v>7397308</v>
      </c>
      <c r="J381" s="22">
        <v>3941863</v>
      </c>
      <c r="K381" s="22"/>
      <c r="L381" s="22"/>
      <c r="M381" s="22"/>
      <c r="N381" s="22"/>
      <c r="O381" s="22"/>
      <c r="P381" s="22"/>
      <c r="Q381" s="22"/>
      <c r="R381" s="22"/>
      <c r="T381" s="31"/>
      <c r="U381" s="31"/>
      <c r="V381" s="31"/>
    </row>
    <row r="382" spans="1:27" ht="14.45" customHeight="1" x14ac:dyDescent="0.2">
      <c r="D382" s="34">
        <v>11498</v>
      </c>
      <c r="E382" s="38"/>
      <c r="F382" s="83" t="s">
        <v>320</v>
      </c>
      <c r="G382" s="33">
        <v>13651762</v>
      </c>
      <c r="H382" s="86">
        <v>14990068</v>
      </c>
      <c r="I382" s="22">
        <v>17247021</v>
      </c>
      <c r="J382" s="22">
        <v>13461984</v>
      </c>
      <c r="K382" s="22"/>
      <c r="L382" s="22"/>
      <c r="M382" s="22"/>
      <c r="N382" s="22"/>
      <c r="O382" s="22"/>
      <c r="P382" s="22"/>
      <c r="Q382" s="22"/>
      <c r="R382" s="22"/>
      <c r="T382" s="31"/>
      <c r="U382" s="31"/>
      <c r="V382" s="31"/>
    </row>
    <row r="383" spans="1:27" ht="14.45" customHeight="1" x14ac:dyDescent="0.2">
      <c r="D383" s="34">
        <v>11601</v>
      </c>
      <c r="E383" s="38"/>
      <c r="F383" s="83" t="s">
        <v>321</v>
      </c>
      <c r="G383" s="224">
        <v>-9600</v>
      </c>
      <c r="H383" s="224">
        <v>-9600</v>
      </c>
      <c r="I383" s="224">
        <v>-9600</v>
      </c>
      <c r="J383" s="224">
        <v>-9600</v>
      </c>
      <c r="K383" s="22"/>
      <c r="L383" s="22"/>
      <c r="M383" s="22"/>
      <c r="N383" s="22"/>
      <c r="O383" s="22"/>
      <c r="P383" s="22"/>
      <c r="Q383" s="22"/>
      <c r="R383" s="22"/>
      <c r="T383" s="31"/>
      <c r="U383" s="31"/>
      <c r="V383" s="31"/>
    </row>
    <row r="384" spans="1:27" x14ac:dyDescent="0.2">
      <c r="D384" s="34">
        <v>11604</v>
      </c>
      <c r="E384" s="38"/>
      <c r="F384" s="83" t="s">
        <v>322</v>
      </c>
      <c r="G384" s="88">
        <v>0</v>
      </c>
      <c r="H384" s="86">
        <v>0</v>
      </c>
      <c r="I384" s="22">
        <v>0</v>
      </c>
      <c r="J384" s="22">
        <v>0</v>
      </c>
      <c r="K384" s="22"/>
      <c r="L384" s="22"/>
      <c r="M384" s="22"/>
      <c r="N384" s="22"/>
      <c r="O384" s="22"/>
      <c r="P384" s="22"/>
      <c r="Q384" s="22"/>
      <c r="R384" s="22"/>
      <c r="T384" s="31"/>
      <c r="U384" s="31"/>
      <c r="V384" s="31"/>
    </row>
    <row r="385" spans="4:22" ht="14.45" customHeight="1" x14ac:dyDescent="0.2">
      <c r="D385" s="34">
        <v>21401</v>
      </c>
      <c r="E385" s="38"/>
      <c r="F385" s="83" t="s">
        <v>323</v>
      </c>
      <c r="G385" s="34">
        <v>742</v>
      </c>
      <c r="H385" s="86">
        <v>730</v>
      </c>
      <c r="I385" s="22">
        <v>238</v>
      </c>
      <c r="J385" s="22">
        <v>2543894</v>
      </c>
      <c r="K385" s="22"/>
      <c r="L385" s="22"/>
      <c r="M385" s="22"/>
      <c r="N385" s="22"/>
      <c r="O385" s="22"/>
      <c r="P385" s="218"/>
      <c r="Q385" s="22"/>
      <c r="R385" s="22"/>
      <c r="T385" s="31"/>
      <c r="U385" s="31"/>
      <c r="V385" s="31"/>
    </row>
    <row r="386" spans="4:22" x14ac:dyDescent="0.2">
      <c r="D386" s="34">
        <v>21405</v>
      </c>
      <c r="E386" s="38"/>
      <c r="F386" s="84" t="s">
        <v>324</v>
      </c>
      <c r="G386" s="22">
        <v>80000000</v>
      </c>
      <c r="H386" s="87">
        <v>80000000</v>
      </c>
      <c r="I386" s="81">
        <v>194300000</v>
      </c>
      <c r="J386" s="81">
        <v>194300000</v>
      </c>
      <c r="K386" s="81"/>
      <c r="L386" s="81"/>
      <c r="M386" s="81"/>
      <c r="N386" s="81"/>
      <c r="O386" s="81"/>
      <c r="P386" s="81"/>
      <c r="Q386" s="81"/>
      <c r="R386" s="81"/>
      <c r="T386" s="31"/>
      <c r="U386" s="31"/>
      <c r="V386" s="31"/>
    </row>
    <row r="387" spans="4:22" ht="14.45" customHeight="1" x14ac:dyDescent="0.2">
      <c r="D387" s="34">
        <v>21406</v>
      </c>
      <c r="E387" s="80"/>
      <c r="F387" s="85" t="s">
        <v>325</v>
      </c>
      <c r="G387" s="33">
        <v>1527503338</v>
      </c>
      <c r="H387" s="86">
        <v>1750656183</v>
      </c>
      <c r="I387" s="22">
        <v>7112466297</v>
      </c>
      <c r="J387" s="22">
        <v>3440930128</v>
      </c>
      <c r="K387" s="22"/>
      <c r="L387" s="22"/>
      <c r="M387" s="22"/>
      <c r="N387" s="22"/>
      <c r="O387" s="22"/>
      <c r="P387" s="22"/>
      <c r="Q387" s="22"/>
      <c r="R387" s="22"/>
      <c r="T387" s="31"/>
      <c r="U387" s="31"/>
      <c r="V387" s="31"/>
    </row>
    <row r="388" spans="4:22" ht="14.45" customHeight="1" x14ac:dyDescent="0.2">
      <c r="D388" s="34">
        <v>21409</v>
      </c>
      <c r="E388" s="80"/>
      <c r="F388" s="85" t="s">
        <v>326</v>
      </c>
      <c r="G388" s="33">
        <v>103988901</v>
      </c>
      <c r="H388" s="86">
        <v>309473138</v>
      </c>
      <c r="I388" s="22">
        <v>220815761</v>
      </c>
      <c r="J388" s="22"/>
      <c r="K388" s="22"/>
      <c r="L388" s="22"/>
      <c r="M388" s="22"/>
      <c r="N388" s="22"/>
      <c r="O388" s="22"/>
      <c r="P388" s="22"/>
      <c r="Q388" s="22"/>
      <c r="R388" s="22"/>
      <c r="T388" s="31"/>
      <c r="U388" s="31"/>
      <c r="V388" s="31"/>
    </row>
    <row r="389" spans="4:22" ht="14.45" customHeight="1" x14ac:dyDescent="0.2">
      <c r="D389" s="34">
        <v>21601</v>
      </c>
      <c r="E389" s="80"/>
      <c r="F389" s="85" t="s">
        <v>327</v>
      </c>
      <c r="G389" s="33">
        <v>0</v>
      </c>
      <c r="H389" s="86">
        <v>0</v>
      </c>
      <c r="I389" s="22">
        <v>20785584</v>
      </c>
      <c r="J389" s="22">
        <v>20716584</v>
      </c>
      <c r="K389" s="22"/>
      <c r="L389" s="22"/>
      <c r="M389" s="22"/>
      <c r="N389" s="22"/>
      <c r="O389" s="22"/>
      <c r="P389" s="22"/>
      <c r="Q389" s="22"/>
      <c r="R389" s="22"/>
      <c r="T389" s="31"/>
      <c r="U389" s="31"/>
      <c r="V389" s="31"/>
    </row>
    <row r="390" spans="4:22" ht="13.9" customHeight="1" x14ac:dyDescent="0.2">
      <c r="D390" s="34">
        <v>21604</v>
      </c>
      <c r="E390" s="80"/>
      <c r="F390" s="85" t="s">
        <v>407</v>
      </c>
      <c r="G390" s="33">
        <v>0</v>
      </c>
      <c r="H390" s="86">
        <v>0</v>
      </c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T390" s="31"/>
      <c r="U390" s="31"/>
      <c r="V390" s="31"/>
    </row>
    <row r="391" spans="4:22" ht="13.9" customHeight="1" x14ac:dyDescent="0.2"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73"/>
    </row>
    <row r="392" spans="4:22" ht="13.9" customHeight="1" x14ac:dyDescent="0.2">
      <c r="G392" s="40">
        <f t="shared" ref="G392:R392" si="214">+G10-G45</f>
        <v>-874182165</v>
      </c>
      <c r="H392" s="40">
        <f t="shared" si="214"/>
        <v>21229084</v>
      </c>
      <c r="I392" s="40">
        <f t="shared" si="214"/>
        <v>-2244279372</v>
      </c>
      <c r="J392" s="40">
        <f t="shared" si="214"/>
        <v>2061741000</v>
      </c>
      <c r="K392" s="40">
        <f t="shared" si="214"/>
        <v>0</v>
      </c>
      <c r="L392" s="40">
        <f t="shared" si="214"/>
        <v>0</v>
      </c>
      <c r="M392" s="40">
        <f t="shared" si="214"/>
        <v>0</v>
      </c>
      <c r="N392" s="40">
        <f t="shared" si="214"/>
        <v>0</v>
      </c>
      <c r="O392" s="40">
        <f t="shared" si="214"/>
        <v>0</v>
      </c>
      <c r="P392" s="40">
        <f t="shared" si="214"/>
        <v>0</v>
      </c>
      <c r="Q392" s="40">
        <f t="shared" si="214"/>
        <v>0</v>
      </c>
      <c r="R392" s="40">
        <f t="shared" si="214"/>
        <v>0</v>
      </c>
      <c r="S392" s="40"/>
    </row>
    <row r="393" spans="4:22" ht="13.9" customHeight="1" x14ac:dyDescent="0.25">
      <c r="G393" s="15"/>
      <c r="H393" s="15"/>
      <c r="I393" s="15"/>
      <c r="J393" s="15"/>
      <c r="K393" s="15"/>
      <c r="L393" s="15"/>
      <c r="M393" s="15"/>
      <c r="N393" s="15"/>
      <c r="O393" s="15"/>
      <c r="P393" s="39"/>
      <c r="Q393" s="39"/>
      <c r="R393" s="39"/>
      <c r="S393" s="39"/>
    </row>
    <row r="394" spans="4:22" ht="13.9" customHeight="1" x14ac:dyDescent="0.2">
      <c r="F394" s="18" t="s">
        <v>22</v>
      </c>
      <c r="G394" s="19">
        <f>+G375+G376+G377+G378+G379+G380+G381+G382+G383-G385-G386-G387-G388-G389-G390+G384</f>
        <v>-1088647578</v>
      </c>
      <c r="H394" s="19">
        <f>+H375+H376+H377+H378+H379+H380+H381+H382+H383+H384-H385-H386-H387-H388-H389</f>
        <v>-1216441517</v>
      </c>
      <c r="I394" s="19">
        <f t="shared" ref="I394" si="215">+I375+I376+I377+I378+I379+I380+I381+I382+I383+I384-I385-I386-I387-I388-I389</f>
        <v>-1807758206</v>
      </c>
      <c r="J394" s="19">
        <f t="shared" ref="J394:R394" si="216">+J375+J376+J377+J378+J379+J380+J381+J382+J383+J384-J385-J386-J387-J388-J389-J390</f>
        <v>-1291093749</v>
      </c>
      <c r="K394" s="29">
        <f t="shared" si="216"/>
        <v>0</v>
      </c>
      <c r="L394" s="29">
        <f t="shared" si="216"/>
        <v>0</v>
      </c>
      <c r="M394" s="29">
        <f t="shared" si="216"/>
        <v>0</v>
      </c>
      <c r="N394" s="29">
        <f t="shared" si="216"/>
        <v>0</v>
      </c>
      <c r="O394" s="29">
        <f t="shared" si="216"/>
        <v>0</v>
      </c>
      <c r="P394" s="29">
        <f t="shared" si="216"/>
        <v>0</v>
      </c>
      <c r="Q394" s="29">
        <f t="shared" si="216"/>
        <v>0</v>
      </c>
      <c r="R394" s="29">
        <f t="shared" si="216"/>
        <v>0</v>
      </c>
      <c r="S394" s="29"/>
    </row>
    <row r="395" spans="4:22" x14ac:dyDescent="0.2">
      <c r="F395" s="20" t="s">
        <v>328</v>
      </c>
      <c r="G395" s="21">
        <f>+G374-G394</f>
        <v>214465413</v>
      </c>
      <c r="H395" s="21">
        <f>+G374+H374-H394</f>
        <v>363488436</v>
      </c>
      <c r="I395" s="21">
        <f>+G374+H374+I374-I394</f>
        <v>-1289474247</v>
      </c>
      <c r="J395" s="21">
        <f>+G374+H374+I374+J374-J394</f>
        <v>255602296</v>
      </c>
      <c r="K395" s="21">
        <f>+G374+H374+I374+J374+K374-K394</f>
        <v>-1035491453</v>
      </c>
      <c r="L395" s="21">
        <f>+G374+H374+I374+J374+K374+L374-L394</f>
        <v>-1035491453</v>
      </c>
      <c r="M395" s="21">
        <f>+G374+H374+I374+J374+K374+L374+M374-M394</f>
        <v>-1035491453</v>
      </c>
      <c r="N395" s="21">
        <f>+G374+H374+I374+J374+K374+L374+M374+N374-N394</f>
        <v>-1035491453</v>
      </c>
      <c r="O395" s="21">
        <f>+G374+H374+I374+J374+K374+L374+M374+N374+O374-O394</f>
        <v>-1035491453</v>
      </c>
      <c r="P395" s="21">
        <f>G374+H374+I374+J374+K374+L374+M374+N374+O374+P374-P394</f>
        <v>-1035491453</v>
      </c>
      <c r="Q395" s="21">
        <f>G374+H374+I374+J374+K374+L374+M374+N374+O374+P374+Q374-Q394</f>
        <v>-1035491453</v>
      </c>
      <c r="R395" s="21">
        <f>G374+H374+I374+J374+K374+L374+M374+N374+O374+P374+Q374+R374-R394</f>
        <v>-1035491453</v>
      </c>
      <c r="S395" s="21"/>
    </row>
    <row r="396" spans="4:22" x14ac:dyDescent="0.2">
      <c r="F396" s="18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</row>
    <row r="397" spans="4:22" x14ac:dyDescent="0.2">
      <c r="F397" s="64" t="s">
        <v>329</v>
      </c>
      <c r="G397" s="65"/>
      <c r="H397" s="65"/>
      <c r="I397" s="65"/>
      <c r="J397" s="65"/>
      <c r="K397" s="65"/>
      <c r="L397" s="65"/>
      <c r="M397" s="65"/>
      <c r="N397" s="65"/>
      <c r="O397" s="65"/>
      <c r="P397" s="65"/>
      <c r="Q397" s="65"/>
      <c r="R397" s="65"/>
      <c r="S397" s="65"/>
    </row>
    <row r="398" spans="4:22" x14ac:dyDescent="0.2">
      <c r="F398" s="23" t="s">
        <v>330</v>
      </c>
      <c r="G398" s="22">
        <v>830589</v>
      </c>
      <c r="H398" s="22">
        <v>830589</v>
      </c>
      <c r="I398" s="22">
        <v>14014716</v>
      </c>
      <c r="J398" s="22">
        <v>15332549</v>
      </c>
      <c r="K398" s="22"/>
      <c r="L398" s="22"/>
      <c r="M398" s="22"/>
      <c r="N398" s="22"/>
      <c r="O398" s="22"/>
      <c r="P398" s="22"/>
      <c r="Q398" s="22"/>
      <c r="R398" s="22"/>
      <c r="S398" s="22"/>
    </row>
    <row r="399" spans="4:22" x14ac:dyDescent="0.2">
      <c r="F399" s="23" t="s">
        <v>331</v>
      </c>
      <c r="G399" s="22">
        <v>0</v>
      </c>
      <c r="H399" s="22">
        <v>0</v>
      </c>
      <c r="I399" s="22">
        <v>0</v>
      </c>
      <c r="J399" s="22">
        <v>0</v>
      </c>
      <c r="K399" s="22"/>
      <c r="L399" s="22"/>
      <c r="M399" s="22"/>
      <c r="N399" s="22"/>
      <c r="O399" s="22"/>
      <c r="P399" s="22"/>
      <c r="Q399" s="22"/>
      <c r="R399" s="22"/>
      <c r="S399" s="22"/>
    </row>
    <row r="400" spans="4:22" x14ac:dyDescent="0.2">
      <c r="F400" s="23" t="s">
        <v>332</v>
      </c>
      <c r="G400" s="22">
        <v>0</v>
      </c>
      <c r="H400" s="22">
        <v>0</v>
      </c>
      <c r="I400" s="22">
        <v>0</v>
      </c>
      <c r="J400" s="22">
        <v>0</v>
      </c>
      <c r="K400" s="22"/>
      <c r="L400" s="22"/>
      <c r="M400" s="22"/>
      <c r="N400" s="22"/>
      <c r="O400" s="22"/>
      <c r="P400" s="22"/>
      <c r="Q400" s="22"/>
      <c r="R400" s="22"/>
      <c r="S400" s="22"/>
    </row>
    <row r="401" spans="6:19" x14ac:dyDescent="0.2">
      <c r="F401" s="23" t="s">
        <v>333</v>
      </c>
      <c r="G401" s="22">
        <v>1939927180</v>
      </c>
      <c r="H401" s="22">
        <v>1939927180</v>
      </c>
      <c r="I401" s="22">
        <v>1939927180</v>
      </c>
      <c r="J401" s="22">
        <v>1939927180</v>
      </c>
      <c r="K401" s="22"/>
      <c r="L401" s="22"/>
      <c r="M401" s="22"/>
      <c r="N401" s="22"/>
      <c r="O401" s="22"/>
      <c r="P401" s="22"/>
      <c r="Q401" s="22"/>
      <c r="R401" s="22"/>
      <c r="S401" s="22"/>
    </row>
    <row r="402" spans="6:19" x14ac:dyDescent="0.2">
      <c r="F402" s="61" t="s">
        <v>334</v>
      </c>
      <c r="G402" s="22">
        <v>0</v>
      </c>
      <c r="H402" s="22">
        <v>0</v>
      </c>
      <c r="I402" s="22">
        <v>0</v>
      </c>
      <c r="J402" s="22">
        <v>0</v>
      </c>
      <c r="K402" s="22"/>
      <c r="L402" s="22"/>
      <c r="M402" s="22"/>
      <c r="N402" s="22"/>
      <c r="O402" s="22"/>
      <c r="P402" s="22"/>
      <c r="Q402" s="22"/>
      <c r="R402" s="22"/>
      <c r="S402" s="22"/>
    </row>
    <row r="403" spans="6:19" x14ac:dyDescent="0.2">
      <c r="F403" s="25" t="s">
        <v>335</v>
      </c>
      <c r="G403" s="60">
        <f t="shared" ref="G403:R403" si="217">SUM(G398:G402)</f>
        <v>1940757769</v>
      </c>
      <c r="H403" s="60">
        <f t="shared" si="217"/>
        <v>1940757769</v>
      </c>
      <c r="I403" s="60">
        <f t="shared" si="217"/>
        <v>1953941896</v>
      </c>
      <c r="J403" s="60">
        <f t="shared" si="217"/>
        <v>1955259729</v>
      </c>
      <c r="K403" s="60">
        <f t="shared" si="217"/>
        <v>0</v>
      </c>
      <c r="L403" s="60">
        <f t="shared" si="217"/>
        <v>0</v>
      </c>
      <c r="M403" s="60">
        <f t="shared" si="217"/>
        <v>0</v>
      </c>
      <c r="N403" s="24">
        <f t="shared" si="217"/>
        <v>0</v>
      </c>
      <c r="O403" s="24">
        <f t="shared" si="217"/>
        <v>0</v>
      </c>
      <c r="P403" s="24">
        <f t="shared" si="217"/>
        <v>0</v>
      </c>
      <c r="Q403" s="24">
        <f t="shared" si="217"/>
        <v>0</v>
      </c>
      <c r="R403" s="24">
        <f t="shared" si="217"/>
        <v>0</v>
      </c>
      <c r="S403" s="24"/>
    </row>
    <row r="404" spans="6:19" x14ac:dyDescent="0.2">
      <c r="F404" s="66" t="s">
        <v>336</v>
      </c>
      <c r="G404" s="67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  <c r="S404" s="70"/>
    </row>
    <row r="405" spans="6:19" x14ac:dyDescent="0.2">
      <c r="F405" s="23" t="s">
        <v>337</v>
      </c>
      <c r="G405" s="22">
        <v>451000</v>
      </c>
      <c r="H405" s="22">
        <v>1510448</v>
      </c>
      <c r="I405" s="22">
        <v>1539417</v>
      </c>
      <c r="J405" s="22">
        <v>2453759</v>
      </c>
      <c r="K405" s="22"/>
      <c r="L405" s="22"/>
      <c r="M405" s="22"/>
      <c r="N405" s="22"/>
      <c r="O405" s="22"/>
      <c r="P405" s="22"/>
      <c r="Q405" s="22"/>
      <c r="R405" s="22"/>
      <c r="S405" s="22"/>
    </row>
    <row r="406" spans="6:19" x14ac:dyDescent="0.2">
      <c r="F406" s="23" t="s">
        <v>338</v>
      </c>
      <c r="G406" s="22">
        <v>323072123</v>
      </c>
      <c r="H406" s="22">
        <v>1516635941</v>
      </c>
      <c r="I406" s="22">
        <v>3190108747</v>
      </c>
      <c r="J406" s="22">
        <v>1591400460</v>
      </c>
      <c r="K406" s="22"/>
      <c r="L406" s="22"/>
      <c r="M406" s="22"/>
      <c r="N406" s="22"/>
      <c r="O406" s="22"/>
      <c r="P406" s="22"/>
      <c r="Q406" s="22"/>
      <c r="R406" s="22"/>
      <c r="S406" s="22"/>
    </row>
    <row r="407" spans="6:19" x14ac:dyDescent="0.2">
      <c r="F407" s="23" t="s">
        <v>339</v>
      </c>
      <c r="G407" s="22">
        <v>0</v>
      </c>
      <c r="H407" s="22">
        <v>0</v>
      </c>
      <c r="I407" s="22">
        <v>13022902</v>
      </c>
      <c r="J407" s="22">
        <v>2099599</v>
      </c>
      <c r="K407" s="22"/>
      <c r="L407" s="22"/>
      <c r="M407" s="22"/>
      <c r="N407" s="22"/>
      <c r="O407" s="22"/>
      <c r="P407" s="22"/>
      <c r="Q407" s="22"/>
      <c r="R407" s="22"/>
      <c r="S407" s="22"/>
    </row>
    <row r="408" spans="6:19" x14ac:dyDescent="0.2">
      <c r="F408" s="23" t="s">
        <v>340</v>
      </c>
      <c r="G408" s="22">
        <v>474271161</v>
      </c>
      <c r="H408" s="22">
        <v>3883589</v>
      </c>
      <c r="I408" s="22">
        <v>34742659</v>
      </c>
      <c r="J408" s="22">
        <v>41585910</v>
      </c>
      <c r="K408" s="22"/>
      <c r="L408" s="22"/>
      <c r="M408" s="22"/>
      <c r="N408" s="22"/>
      <c r="O408" s="22"/>
      <c r="P408" s="22"/>
      <c r="Q408" s="22"/>
      <c r="R408" s="22"/>
      <c r="S408" s="22"/>
    </row>
    <row r="409" spans="6:19" x14ac:dyDescent="0.2">
      <c r="F409" s="23" t="s">
        <v>341</v>
      </c>
      <c r="G409" s="22">
        <v>0</v>
      </c>
      <c r="H409" s="22">
        <v>543235</v>
      </c>
      <c r="I409" s="22">
        <v>3764418</v>
      </c>
      <c r="J409" s="22">
        <v>7995314</v>
      </c>
      <c r="K409" s="22"/>
      <c r="L409" s="22"/>
      <c r="M409" s="22"/>
      <c r="N409" s="22"/>
      <c r="O409" s="22"/>
      <c r="P409" s="22"/>
      <c r="Q409" s="22"/>
      <c r="R409" s="22"/>
      <c r="S409" s="22"/>
    </row>
    <row r="410" spans="6:19" x14ac:dyDescent="0.2">
      <c r="F410" s="23" t="s">
        <v>342</v>
      </c>
      <c r="G410" s="22">
        <v>0</v>
      </c>
      <c r="H410" s="22">
        <v>54458120</v>
      </c>
      <c r="I410" s="22">
        <v>0</v>
      </c>
      <c r="J410" s="22">
        <v>53884391</v>
      </c>
      <c r="K410" s="22"/>
      <c r="L410" s="22"/>
      <c r="M410" s="22"/>
      <c r="N410" s="22"/>
      <c r="O410" s="22"/>
      <c r="P410" s="22"/>
      <c r="Q410" s="22"/>
      <c r="R410" s="22"/>
      <c r="S410" s="22"/>
    </row>
    <row r="411" spans="6:19" x14ac:dyDescent="0.2">
      <c r="F411" s="23" t="s">
        <v>343</v>
      </c>
      <c r="G411" s="22">
        <v>0</v>
      </c>
      <c r="H411" s="22">
        <v>0</v>
      </c>
      <c r="I411" s="22">
        <v>0</v>
      </c>
      <c r="J411" s="22">
        <v>0</v>
      </c>
      <c r="K411" s="22"/>
      <c r="L411" s="22"/>
      <c r="M411" s="22"/>
      <c r="N411" s="22"/>
      <c r="O411" s="22"/>
      <c r="P411" s="22"/>
      <c r="Q411" s="22"/>
      <c r="R411" s="22"/>
      <c r="S411" s="22"/>
    </row>
    <row r="412" spans="6:19" x14ac:dyDescent="0.2">
      <c r="F412" s="23" t="s">
        <v>344</v>
      </c>
      <c r="G412" s="22">
        <v>0</v>
      </c>
      <c r="H412" s="22">
        <v>0</v>
      </c>
      <c r="I412" s="22">
        <v>0</v>
      </c>
      <c r="J412" s="22">
        <v>0</v>
      </c>
      <c r="K412" s="22"/>
      <c r="L412" s="22"/>
      <c r="M412" s="22"/>
      <c r="N412" s="22"/>
      <c r="O412" s="22"/>
      <c r="P412" s="22"/>
      <c r="Q412" s="22"/>
      <c r="R412" s="22"/>
      <c r="S412" s="22"/>
    </row>
    <row r="413" spans="6:19" x14ac:dyDescent="0.2">
      <c r="F413" s="23" t="s">
        <v>345</v>
      </c>
      <c r="G413" s="22">
        <v>928498072</v>
      </c>
      <c r="H413" s="22">
        <v>238000</v>
      </c>
      <c r="I413" s="22">
        <v>238000</v>
      </c>
      <c r="J413" s="22">
        <v>238000</v>
      </c>
      <c r="K413" s="22"/>
      <c r="L413" s="22"/>
      <c r="M413" s="22"/>
      <c r="N413" s="22"/>
      <c r="O413" s="22"/>
      <c r="P413" s="22"/>
      <c r="Q413" s="22"/>
      <c r="R413" s="22"/>
      <c r="S413" s="22"/>
    </row>
    <row r="414" spans="6:19" ht="15" customHeight="1" x14ac:dyDescent="0.2">
      <c r="F414" s="23" t="s">
        <v>346</v>
      </c>
      <c r="G414" s="22">
        <v>0</v>
      </c>
      <c r="H414" s="22">
        <v>0</v>
      </c>
      <c r="I414" s="22">
        <v>0</v>
      </c>
      <c r="J414" s="22">
        <v>0</v>
      </c>
      <c r="K414" s="22"/>
      <c r="L414" s="22"/>
      <c r="M414" s="22"/>
      <c r="N414" s="22"/>
      <c r="O414" s="22"/>
      <c r="P414" s="22"/>
      <c r="Q414" s="22"/>
      <c r="R414" s="22"/>
      <c r="S414" s="22"/>
    </row>
    <row r="415" spans="6:19" x14ac:dyDescent="0.2">
      <c r="F415" s="68" t="s">
        <v>347</v>
      </c>
      <c r="G415" s="69">
        <f t="shared" ref="G415:R415" si="218">SUM(G405:G414)</f>
        <v>1726292356</v>
      </c>
      <c r="H415" s="69">
        <f t="shared" si="218"/>
        <v>1577269333</v>
      </c>
      <c r="I415" s="69">
        <f>SUM(I405:I414)</f>
        <v>3243416143</v>
      </c>
      <c r="J415" s="69">
        <f t="shared" si="218"/>
        <v>1699657433</v>
      </c>
      <c r="K415" s="69">
        <f t="shared" si="218"/>
        <v>0</v>
      </c>
      <c r="L415" s="69">
        <f>SUM(L405:L414)</f>
        <v>0</v>
      </c>
      <c r="M415" s="69">
        <f t="shared" si="218"/>
        <v>0</v>
      </c>
      <c r="N415" s="69">
        <f t="shared" si="218"/>
        <v>0</v>
      </c>
      <c r="O415" s="69">
        <f t="shared" si="218"/>
        <v>0</v>
      </c>
      <c r="P415" s="69">
        <f t="shared" si="218"/>
        <v>0</v>
      </c>
      <c r="Q415" s="69">
        <f t="shared" si="218"/>
        <v>0</v>
      </c>
      <c r="R415" s="69">
        <f t="shared" si="218"/>
        <v>0</v>
      </c>
      <c r="S415" s="69"/>
    </row>
    <row r="416" spans="6:19" x14ac:dyDescent="0.2">
      <c r="F416" s="18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</row>
    <row r="417" spans="6:19" x14ac:dyDescent="0.2">
      <c r="F417" s="25" t="s">
        <v>348</v>
      </c>
      <c r="G417" s="26">
        <f t="shared" ref="G417:R417" si="219">+G415-G403</f>
        <v>-214465413</v>
      </c>
      <c r="H417" s="26">
        <f t="shared" si="219"/>
        <v>-363488436</v>
      </c>
      <c r="I417" s="26">
        <f t="shared" si="219"/>
        <v>1289474247</v>
      </c>
      <c r="J417" s="26">
        <f t="shared" si="219"/>
        <v>-255602296</v>
      </c>
      <c r="K417" s="26">
        <f t="shared" si="219"/>
        <v>0</v>
      </c>
      <c r="L417" s="26">
        <f t="shared" si="219"/>
        <v>0</v>
      </c>
      <c r="M417" s="26">
        <f t="shared" si="219"/>
        <v>0</v>
      </c>
      <c r="N417" s="26">
        <f t="shared" si="219"/>
        <v>0</v>
      </c>
      <c r="O417" s="26">
        <f t="shared" si="219"/>
        <v>0</v>
      </c>
      <c r="P417" s="26">
        <f t="shared" si="219"/>
        <v>0</v>
      </c>
      <c r="Q417" s="26">
        <f t="shared" si="219"/>
        <v>0</v>
      </c>
      <c r="R417" s="26">
        <f t="shared" si="219"/>
        <v>0</v>
      </c>
      <c r="S417" s="26"/>
    </row>
    <row r="418" spans="6:19" x14ac:dyDescent="0.2"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</row>
    <row r="419" spans="6:19" ht="15" x14ac:dyDescent="0.2">
      <c r="F419" s="27" t="s">
        <v>349</v>
      </c>
      <c r="G419" s="28">
        <f t="shared" ref="G419:R419" si="220">+G395+G417</f>
        <v>0</v>
      </c>
      <c r="H419" s="28">
        <f>+H395+H417</f>
        <v>0</v>
      </c>
      <c r="I419" s="213">
        <f t="shared" si="220"/>
        <v>0</v>
      </c>
      <c r="J419" s="28">
        <f t="shared" si="220"/>
        <v>0</v>
      </c>
      <c r="K419" s="28">
        <f t="shared" si="220"/>
        <v>-1035491453</v>
      </c>
      <c r="L419" s="28">
        <f t="shared" si="220"/>
        <v>-1035491453</v>
      </c>
      <c r="M419" s="28">
        <f t="shared" si="220"/>
        <v>-1035491453</v>
      </c>
      <c r="N419" s="28">
        <f t="shared" si="220"/>
        <v>-1035491453</v>
      </c>
      <c r="O419" s="28">
        <f t="shared" si="220"/>
        <v>-1035491453</v>
      </c>
      <c r="P419" s="28">
        <f t="shared" si="220"/>
        <v>-1035491453</v>
      </c>
      <c r="Q419" s="28">
        <f t="shared" si="220"/>
        <v>-1035491453</v>
      </c>
      <c r="R419" s="28">
        <f t="shared" si="220"/>
        <v>-1035491453</v>
      </c>
      <c r="S419" s="28"/>
    </row>
    <row r="423" spans="6:19" ht="15" x14ac:dyDescent="0.25">
      <c r="F423" s="75" t="s">
        <v>363</v>
      </c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</row>
    <row r="424" spans="6:19" ht="15" x14ac:dyDescent="0.25">
      <c r="F424" s="42">
        <v>21</v>
      </c>
      <c r="G424" s="46">
        <v>17501194932</v>
      </c>
      <c r="H424" s="46">
        <v>19076600754</v>
      </c>
      <c r="I424" s="46">
        <v>42510394226</v>
      </c>
      <c r="J424" s="46">
        <v>17990667285</v>
      </c>
      <c r="K424" s="46"/>
      <c r="L424" s="46"/>
      <c r="M424" s="46"/>
      <c r="N424" s="46"/>
      <c r="O424" s="46"/>
      <c r="P424" s="46"/>
      <c r="Q424" s="46"/>
      <c r="R424" s="46"/>
      <c r="S424" s="46"/>
    </row>
    <row r="425" spans="6:19" ht="15" x14ac:dyDescent="0.25">
      <c r="F425" s="42">
        <v>22</v>
      </c>
      <c r="G425" s="46">
        <v>1778334139</v>
      </c>
      <c r="H425" s="46">
        <v>3661183659</v>
      </c>
      <c r="I425" s="46">
        <v>5518134543</v>
      </c>
      <c r="J425" s="46">
        <v>4174084475</v>
      </c>
      <c r="K425" s="46"/>
      <c r="L425" s="46"/>
      <c r="M425" s="46"/>
      <c r="N425" s="46"/>
      <c r="O425" s="46"/>
      <c r="P425" s="46"/>
      <c r="Q425" s="46"/>
      <c r="R425" s="46"/>
      <c r="S425" s="46"/>
    </row>
    <row r="426" spans="6:19" ht="15" x14ac:dyDescent="0.25">
      <c r="F426" s="42">
        <v>23</v>
      </c>
      <c r="G426" s="46">
        <v>70331611</v>
      </c>
      <c r="H426" s="46">
        <v>31752534</v>
      </c>
      <c r="I426" s="46">
        <v>106513241</v>
      </c>
      <c r="J426" s="46">
        <v>62429345</v>
      </c>
      <c r="K426" s="46"/>
      <c r="L426" s="46"/>
      <c r="M426" s="46"/>
      <c r="N426" s="46"/>
      <c r="O426" s="46"/>
      <c r="P426" s="46"/>
      <c r="Q426" s="46"/>
      <c r="R426" s="46"/>
      <c r="S426" s="46"/>
    </row>
    <row r="427" spans="6:19" ht="15" x14ac:dyDescent="0.25">
      <c r="F427" s="42">
        <v>24</v>
      </c>
      <c r="G427" s="46">
        <v>522473857</v>
      </c>
      <c r="H427" s="46">
        <v>1780899281</v>
      </c>
      <c r="I427" s="46">
        <v>929245943</v>
      </c>
      <c r="J427" s="46">
        <v>862649612</v>
      </c>
      <c r="K427" s="46"/>
      <c r="L427" s="46"/>
      <c r="M427" s="46"/>
      <c r="N427" s="46"/>
      <c r="O427" s="46"/>
      <c r="P427" s="91"/>
      <c r="Q427" s="46"/>
      <c r="R427" s="46"/>
      <c r="S427" s="46"/>
    </row>
    <row r="428" spans="6:19" ht="15" x14ac:dyDescent="0.25">
      <c r="F428" s="42">
        <v>25</v>
      </c>
      <c r="G428" s="46">
        <v>742</v>
      </c>
      <c r="H428" s="46">
        <v>730</v>
      </c>
      <c r="I428" s="46">
        <v>238</v>
      </c>
      <c r="J428" s="46">
        <v>9448838</v>
      </c>
      <c r="K428" s="46"/>
      <c r="L428" s="46"/>
      <c r="M428" s="46"/>
      <c r="N428" s="46"/>
      <c r="O428" s="46"/>
      <c r="P428" s="46"/>
      <c r="Q428" s="46"/>
      <c r="R428" s="46"/>
      <c r="S428" s="46"/>
    </row>
    <row r="429" spans="6:19" ht="15" x14ac:dyDescent="0.25">
      <c r="F429" s="42">
        <v>26</v>
      </c>
      <c r="G429" s="46">
        <v>227055</v>
      </c>
      <c r="H429" s="46">
        <v>0</v>
      </c>
      <c r="I429" s="46">
        <v>0</v>
      </c>
      <c r="J429" s="46">
        <v>0</v>
      </c>
      <c r="K429" s="46"/>
      <c r="M429" s="46"/>
      <c r="N429" s="46"/>
      <c r="O429" s="46"/>
      <c r="P429" s="46"/>
      <c r="Q429" s="46"/>
      <c r="R429" s="46"/>
      <c r="S429" s="46"/>
    </row>
    <row r="430" spans="6:19" ht="15" x14ac:dyDescent="0.25">
      <c r="F430" s="42">
        <v>29</v>
      </c>
      <c r="G430" s="46">
        <v>0</v>
      </c>
      <c r="H430" s="46">
        <v>2733073</v>
      </c>
      <c r="I430" s="46">
        <v>102883403</v>
      </c>
      <c r="J430" s="46">
        <v>43406930</v>
      </c>
      <c r="K430" s="46"/>
      <c r="L430" s="46"/>
      <c r="M430" s="46"/>
      <c r="N430" s="46"/>
      <c r="O430" s="46"/>
      <c r="P430" s="46"/>
      <c r="Q430" s="46"/>
      <c r="R430" s="46"/>
      <c r="S430" s="46"/>
    </row>
    <row r="431" spans="6:19" ht="15" x14ac:dyDescent="0.25">
      <c r="F431" s="42">
        <v>31</v>
      </c>
      <c r="G431" s="46">
        <v>0</v>
      </c>
      <c r="H431" s="46">
        <v>89349580</v>
      </c>
      <c r="I431" s="46">
        <v>137776016</v>
      </c>
      <c r="J431" s="46">
        <v>247052149</v>
      </c>
      <c r="K431" s="46"/>
      <c r="L431" s="46"/>
      <c r="M431" s="46"/>
      <c r="N431" s="46"/>
      <c r="O431" s="46"/>
      <c r="P431" s="46"/>
      <c r="Q431" s="46"/>
      <c r="R431" s="46"/>
      <c r="S431" s="46"/>
    </row>
    <row r="432" spans="6:19" ht="15" x14ac:dyDescent="0.25">
      <c r="F432" s="42">
        <v>34</v>
      </c>
      <c r="G432" s="46">
        <v>4053255598</v>
      </c>
      <c r="H432" s="46">
        <v>-19943460</v>
      </c>
      <c r="I432" s="46">
        <v>0</v>
      </c>
      <c r="J432" s="46">
        <v>0</v>
      </c>
      <c r="K432" s="46">
        <v>0</v>
      </c>
      <c r="L432" s="46">
        <v>0</v>
      </c>
      <c r="M432" s="46">
        <v>0</v>
      </c>
      <c r="N432" s="91">
        <v>0</v>
      </c>
      <c r="O432" s="46">
        <v>0</v>
      </c>
      <c r="P432" s="46">
        <v>0</v>
      </c>
      <c r="Q432" s="46"/>
      <c r="R432" s="46"/>
      <c r="S432" s="46"/>
    </row>
    <row r="434" spans="6:20" ht="15" x14ac:dyDescent="0.25">
      <c r="F434" s="44" t="s">
        <v>360</v>
      </c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</row>
    <row r="435" spans="6:20" ht="15" x14ac:dyDescent="0.25">
      <c r="F435" s="42">
        <v>21</v>
      </c>
      <c r="G435" s="43">
        <f t="shared" ref="G435:R435" si="221">+G46-G424</f>
        <v>0</v>
      </c>
      <c r="H435" s="43">
        <f t="shared" si="221"/>
        <v>0</v>
      </c>
      <c r="I435" s="43">
        <f t="shared" si="221"/>
        <v>0</v>
      </c>
      <c r="J435" s="43">
        <f t="shared" si="221"/>
        <v>0</v>
      </c>
      <c r="K435" s="43">
        <f t="shared" si="221"/>
        <v>0</v>
      </c>
      <c r="L435" s="43">
        <f t="shared" si="221"/>
        <v>0</v>
      </c>
      <c r="M435" s="43">
        <f t="shared" si="221"/>
        <v>0</v>
      </c>
      <c r="N435" s="43">
        <f t="shared" si="221"/>
        <v>0</v>
      </c>
      <c r="O435" s="43">
        <f t="shared" si="221"/>
        <v>0</v>
      </c>
      <c r="P435" s="43">
        <f t="shared" si="221"/>
        <v>0</v>
      </c>
      <c r="Q435" s="43">
        <f t="shared" si="221"/>
        <v>0</v>
      </c>
      <c r="R435" s="43">
        <f t="shared" si="221"/>
        <v>0</v>
      </c>
      <c r="S435" s="43"/>
    </row>
    <row r="436" spans="6:20" ht="15" x14ac:dyDescent="0.25">
      <c r="F436" s="42">
        <v>22</v>
      </c>
      <c r="G436" s="43">
        <f t="shared" ref="G436:R436" si="222">+G93-G425</f>
        <v>0</v>
      </c>
      <c r="H436" s="43">
        <f t="shared" si="222"/>
        <v>0</v>
      </c>
      <c r="I436" s="43">
        <f t="shared" si="222"/>
        <v>0</v>
      </c>
      <c r="J436" s="43">
        <f t="shared" si="222"/>
        <v>0</v>
      </c>
      <c r="K436" s="43">
        <f t="shared" si="222"/>
        <v>0</v>
      </c>
      <c r="L436" s="43">
        <f t="shared" si="222"/>
        <v>0</v>
      </c>
      <c r="M436" s="43">
        <f t="shared" si="222"/>
        <v>0</v>
      </c>
      <c r="N436" s="43">
        <f t="shared" si="222"/>
        <v>0</v>
      </c>
      <c r="O436" s="43">
        <f t="shared" si="222"/>
        <v>0</v>
      </c>
      <c r="P436" s="43">
        <f t="shared" si="222"/>
        <v>0</v>
      </c>
      <c r="Q436" s="43">
        <f t="shared" si="222"/>
        <v>0</v>
      </c>
      <c r="R436" s="43">
        <f t="shared" si="222"/>
        <v>0</v>
      </c>
      <c r="S436" s="43"/>
    </row>
    <row r="437" spans="6:20" ht="15" x14ac:dyDescent="0.25">
      <c r="F437" s="42">
        <v>23</v>
      </c>
      <c r="G437" s="43">
        <f t="shared" ref="G437:R437" si="223">+G180-G426</f>
        <v>0</v>
      </c>
      <c r="H437" s="43">
        <f t="shared" si="223"/>
        <v>0</v>
      </c>
      <c r="I437" s="43">
        <f t="shared" si="223"/>
        <v>0</v>
      </c>
      <c r="J437" s="43">
        <f t="shared" si="223"/>
        <v>0</v>
      </c>
      <c r="K437" s="43">
        <f t="shared" si="223"/>
        <v>0</v>
      </c>
      <c r="L437" s="43">
        <f t="shared" si="223"/>
        <v>0</v>
      </c>
      <c r="M437" s="43">
        <f t="shared" si="223"/>
        <v>0</v>
      </c>
      <c r="N437" s="43">
        <f t="shared" si="223"/>
        <v>0</v>
      </c>
      <c r="O437" s="43">
        <f t="shared" si="223"/>
        <v>0</v>
      </c>
      <c r="P437" s="43">
        <f t="shared" si="223"/>
        <v>0</v>
      </c>
      <c r="Q437" s="43">
        <f t="shared" si="223"/>
        <v>0</v>
      </c>
      <c r="R437" s="43">
        <f t="shared" si="223"/>
        <v>0</v>
      </c>
      <c r="S437" s="43"/>
    </row>
    <row r="438" spans="6:20" ht="15" x14ac:dyDescent="0.25">
      <c r="F438" s="42">
        <v>24</v>
      </c>
      <c r="G438" s="43">
        <f t="shared" ref="G438:R438" si="224">+G186-G427</f>
        <v>0</v>
      </c>
      <c r="H438" s="43">
        <f t="shared" si="224"/>
        <v>0</v>
      </c>
      <c r="I438" s="43">
        <f t="shared" si="224"/>
        <v>0</v>
      </c>
      <c r="J438" s="43">
        <f t="shared" si="224"/>
        <v>0</v>
      </c>
      <c r="K438" s="43">
        <f t="shared" si="224"/>
        <v>0</v>
      </c>
      <c r="L438" s="43">
        <f t="shared" si="224"/>
        <v>0</v>
      </c>
      <c r="M438" s="43">
        <f t="shared" si="224"/>
        <v>0</v>
      </c>
      <c r="N438" s="43">
        <f t="shared" si="224"/>
        <v>0</v>
      </c>
      <c r="O438" s="43">
        <f t="shared" si="224"/>
        <v>0</v>
      </c>
      <c r="P438" s="43">
        <f t="shared" si="224"/>
        <v>0</v>
      </c>
      <c r="Q438" s="43">
        <f t="shared" si="224"/>
        <v>0</v>
      </c>
      <c r="R438" s="43">
        <f t="shared" si="224"/>
        <v>0</v>
      </c>
      <c r="S438" s="43"/>
    </row>
    <row r="439" spans="6:20" ht="15" x14ac:dyDescent="0.25">
      <c r="F439" s="42">
        <v>25</v>
      </c>
      <c r="G439" s="43">
        <f t="shared" ref="G439:R439" si="225">+G200-G428</f>
        <v>0</v>
      </c>
      <c r="H439" s="43">
        <f t="shared" si="225"/>
        <v>0</v>
      </c>
      <c r="I439" s="43">
        <f t="shared" si="225"/>
        <v>0</v>
      </c>
      <c r="J439" s="43">
        <f t="shared" si="225"/>
        <v>0</v>
      </c>
      <c r="K439" s="43">
        <f t="shared" si="225"/>
        <v>0</v>
      </c>
      <c r="L439" s="43">
        <f t="shared" si="225"/>
        <v>0</v>
      </c>
      <c r="M439" s="43">
        <f t="shared" si="225"/>
        <v>0</v>
      </c>
      <c r="N439" s="43">
        <f t="shared" si="225"/>
        <v>0</v>
      </c>
      <c r="O439" s="43">
        <f t="shared" si="225"/>
        <v>0</v>
      </c>
      <c r="P439" s="43">
        <f t="shared" si="225"/>
        <v>0</v>
      </c>
      <c r="Q439" s="43">
        <f t="shared" si="225"/>
        <v>0</v>
      </c>
      <c r="R439" s="43">
        <f t="shared" si="225"/>
        <v>0</v>
      </c>
      <c r="S439" s="43"/>
    </row>
    <row r="440" spans="6:20" ht="15" x14ac:dyDescent="0.25">
      <c r="F440" s="42">
        <v>26</v>
      </c>
      <c r="G440" s="43">
        <f t="shared" ref="G440:R440" si="226">+G206-G429</f>
        <v>0</v>
      </c>
      <c r="H440" s="43">
        <f t="shared" si="226"/>
        <v>0</v>
      </c>
      <c r="I440" s="43">
        <f t="shared" si="226"/>
        <v>0</v>
      </c>
      <c r="J440" s="43">
        <f t="shared" si="226"/>
        <v>0</v>
      </c>
      <c r="K440" s="43">
        <f t="shared" si="226"/>
        <v>0</v>
      </c>
      <c r="L440" s="43">
        <f t="shared" si="226"/>
        <v>0</v>
      </c>
      <c r="M440" s="43">
        <f t="shared" si="226"/>
        <v>0</v>
      </c>
      <c r="N440" s="43">
        <f t="shared" si="226"/>
        <v>0</v>
      </c>
      <c r="O440" s="43">
        <f t="shared" si="226"/>
        <v>0</v>
      </c>
      <c r="P440" s="43">
        <f t="shared" si="226"/>
        <v>0</v>
      </c>
      <c r="Q440" s="43">
        <f t="shared" si="226"/>
        <v>0</v>
      </c>
      <c r="R440" s="43">
        <f t="shared" si="226"/>
        <v>0</v>
      </c>
      <c r="S440" s="43"/>
    </row>
    <row r="441" spans="6:20" ht="15" x14ac:dyDescent="0.25">
      <c r="F441" s="42">
        <v>29</v>
      </c>
      <c r="G441" s="43">
        <f t="shared" ref="G441:R441" si="227">+G210-G430</f>
        <v>0</v>
      </c>
      <c r="H441" s="43">
        <f t="shared" si="227"/>
        <v>0</v>
      </c>
      <c r="I441" s="43">
        <f t="shared" si="227"/>
        <v>0</v>
      </c>
      <c r="J441" s="43">
        <f t="shared" si="227"/>
        <v>0</v>
      </c>
      <c r="K441" s="43">
        <f t="shared" si="227"/>
        <v>0</v>
      </c>
      <c r="L441" s="43">
        <f t="shared" si="227"/>
        <v>0</v>
      </c>
      <c r="M441" s="43">
        <f t="shared" si="227"/>
        <v>0</v>
      </c>
      <c r="N441" s="43">
        <f t="shared" si="227"/>
        <v>0</v>
      </c>
      <c r="O441" s="43">
        <f t="shared" si="227"/>
        <v>0</v>
      </c>
      <c r="P441" s="43">
        <f t="shared" si="227"/>
        <v>0</v>
      </c>
      <c r="Q441" s="43">
        <f t="shared" si="227"/>
        <v>0</v>
      </c>
      <c r="R441" s="43">
        <f t="shared" si="227"/>
        <v>0</v>
      </c>
      <c r="S441" s="43"/>
    </row>
    <row r="442" spans="6:20" ht="15" x14ac:dyDescent="0.25">
      <c r="F442" s="42">
        <v>31</v>
      </c>
      <c r="G442" s="43">
        <f t="shared" ref="G442:R442" si="228">+G245-G431</f>
        <v>0</v>
      </c>
      <c r="H442" s="43">
        <f t="shared" si="228"/>
        <v>0</v>
      </c>
      <c r="I442" s="43">
        <f t="shared" si="228"/>
        <v>0</v>
      </c>
      <c r="J442" s="43">
        <f t="shared" si="228"/>
        <v>0</v>
      </c>
      <c r="K442" s="43">
        <f t="shared" si="228"/>
        <v>0</v>
      </c>
      <c r="L442" s="43">
        <f t="shared" si="228"/>
        <v>0</v>
      </c>
      <c r="M442" s="43">
        <f t="shared" si="228"/>
        <v>0</v>
      </c>
      <c r="N442" s="43">
        <f t="shared" si="228"/>
        <v>0</v>
      </c>
      <c r="O442" s="43">
        <f t="shared" si="228"/>
        <v>0</v>
      </c>
      <c r="P442" s="43">
        <f t="shared" si="228"/>
        <v>0</v>
      </c>
      <c r="Q442" s="43">
        <f t="shared" si="228"/>
        <v>0</v>
      </c>
      <c r="R442" s="43">
        <f t="shared" si="228"/>
        <v>0</v>
      </c>
      <c r="S442" s="43"/>
    </row>
    <row r="443" spans="6:20" ht="15" x14ac:dyDescent="0.25">
      <c r="F443" s="42">
        <v>34</v>
      </c>
      <c r="G443" s="43">
        <f t="shared" ref="G443:R443" si="229">+G358-G432</f>
        <v>0</v>
      </c>
      <c r="H443" s="43">
        <f t="shared" si="229"/>
        <v>0</v>
      </c>
      <c r="I443" s="43">
        <f t="shared" si="229"/>
        <v>0</v>
      </c>
      <c r="J443" s="43">
        <f t="shared" si="229"/>
        <v>0</v>
      </c>
      <c r="K443" s="43">
        <f t="shared" si="229"/>
        <v>0</v>
      </c>
      <c r="L443" s="43">
        <f t="shared" ref="L443" si="230">+L358-L432</f>
        <v>0</v>
      </c>
      <c r="M443" s="43">
        <f t="shared" si="229"/>
        <v>0</v>
      </c>
      <c r="N443" s="43">
        <f t="shared" si="229"/>
        <v>0</v>
      </c>
      <c r="O443" s="43">
        <f t="shared" si="229"/>
        <v>0</v>
      </c>
      <c r="P443" s="43">
        <f t="shared" si="229"/>
        <v>0</v>
      </c>
      <c r="Q443" s="43">
        <f t="shared" si="229"/>
        <v>0</v>
      </c>
      <c r="R443" s="43">
        <f t="shared" si="229"/>
        <v>0</v>
      </c>
      <c r="S443" s="43"/>
    </row>
    <row r="446" spans="6:20" x14ac:dyDescent="0.2">
      <c r="T446" s="74"/>
    </row>
    <row r="455" ht="9" customHeight="1" x14ac:dyDescent="0.2"/>
    <row r="975" spans="1:1" x14ac:dyDescent="0.2">
      <c r="A975" s="31" t="s">
        <v>375</v>
      </c>
    </row>
  </sheetData>
  <mergeCells count="4">
    <mergeCell ref="A6:F6"/>
    <mergeCell ref="A2:F2"/>
    <mergeCell ref="A3:F3"/>
    <mergeCell ref="A5:G5"/>
  </mergeCells>
  <phoneticPr fontId="21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14" scale="56" fitToHeight="6" orientation="landscape" r:id="rId1"/>
  <rowBreaks count="5" manualBreakCount="5">
    <brk id="7" max="21" man="1"/>
    <brk id="73" max="16383" man="1"/>
    <brk id="136" max="16383" man="1"/>
    <brk id="209" max="16383" man="1"/>
    <brk id="309" max="21" man="1"/>
  </rowBreaks>
  <colBreaks count="1" manualBreakCount="1">
    <brk id="5" max="409" man="1"/>
  </colBreaks>
  <ignoredErrors>
    <ignoredError sqref="T28 G336:H336 I336:L336 L76 M336:O336 P173 P250:Q250 R173 L297 G76 G250 G297" formulaRange="1"/>
    <ignoredError sqref="H36 K10 J207 U372 S361 L250 P3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79998168889431442"/>
  </sheetPr>
  <dimension ref="A1:L384"/>
  <sheetViews>
    <sheetView tabSelected="1" zoomScaleNormal="100" workbookViewId="0">
      <selection sqref="A1:L1"/>
    </sheetView>
  </sheetViews>
  <sheetFormatPr baseColWidth="10" defaultRowHeight="12.75" x14ac:dyDescent="0.25"/>
  <cols>
    <col min="1" max="1" width="16" style="54" customWidth="1"/>
    <col min="2" max="2" width="3.7109375" style="54" customWidth="1"/>
    <col min="3" max="3" width="14.7109375" style="54" customWidth="1"/>
    <col min="4" max="4" width="17.28515625" style="54" customWidth="1"/>
    <col min="5" max="5" width="18.28515625" style="54" customWidth="1"/>
    <col min="6" max="11" width="14.7109375" style="54" customWidth="1"/>
    <col min="12" max="12" width="22.85546875" style="55" customWidth="1"/>
    <col min="13" max="13" width="12.28515625" style="54" bestFit="1" customWidth="1"/>
    <col min="14" max="14" width="16.28515625" style="54" customWidth="1"/>
    <col min="15" max="15" width="23.42578125" style="54" customWidth="1"/>
    <col min="16" max="16" width="16.28515625" style="54" customWidth="1"/>
    <col min="17" max="16384" width="11.42578125" style="54"/>
  </cols>
  <sheetData>
    <row r="1" spans="1:12" ht="20.100000000000001" customHeight="1" x14ac:dyDescent="0.25">
      <c r="A1" s="314" t="s">
        <v>481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</row>
    <row r="2" spans="1:12" ht="20.100000000000001" customHeight="1" x14ac:dyDescent="0.25">
      <c r="A2" s="315" t="s">
        <v>482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06">
        <v>2026</v>
      </c>
    </row>
    <row r="3" spans="1:12" x14ac:dyDescent="0.25">
      <c r="A3" s="277"/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</row>
    <row r="4" spans="1:12" s="283" customFormat="1" ht="15.95" customHeight="1" x14ac:dyDescent="0.25">
      <c r="A4" s="279" t="s">
        <v>483</v>
      </c>
      <c r="B4" s="280"/>
      <c r="C4" s="280"/>
      <c r="D4" s="281" t="s">
        <v>484</v>
      </c>
      <c r="E4" s="282">
        <v>1388242936</v>
      </c>
      <c r="F4" s="279" t="s">
        <v>485</v>
      </c>
      <c r="G4" s="280"/>
      <c r="H4" s="280"/>
      <c r="I4" s="280"/>
      <c r="J4" s="280"/>
      <c r="K4" s="280"/>
      <c r="L4" s="280"/>
    </row>
    <row r="5" spans="1:12" s="283" customFormat="1" ht="15.95" customHeight="1" x14ac:dyDescent="0.25">
      <c r="A5" s="279"/>
      <c r="B5" s="280"/>
      <c r="C5" s="280"/>
      <c r="D5" s="281"/>
      <c r="E5" s="282">
        <v>357050789</v>
      </c>
      <c r="F5" s="279" t="s">
        <v>486</v>
      </c>
      <c r="G5" s="280"/>
      <c r="H5" s="280"/>
      <c r="I5" s="280"/>
      <c r="J5" s="280"/>
      <c r="K5" s="280"/>
      <c r="L5" s="280"/>
    </row>
    <row r="6" spans="1:12" s="283" customFormat="1" ht="15.95" customHeight="1" x14ac:dyDescent="0.25">
      <c r="A6" s="279"/>
      <c r="B6" s="280"/>
      <c r="C6" s="280"/>
      <c r="D6" s="281"/>
      <c r="E6" s="282">
        <v>22709170</v>
      </c>
      <c r="F6" s="279" t="s">
        <v>487</v>
      </c>
      <c r="G6" s="280"/>
      <c r="H6" s="280"/>
      <c r="I6" s="280"/>
      <c r="J6" s="280"/>
      <c r="K6" s="280"/>
      <c r="L6" s="280"/>
    </row>
    <row r="7" spans="1:12" s="283" customFormat="1" ht="15.95" customHeight="1" x14ac:dyDescent="0.25">
      <c r="A7" s="280"/>
      <c r="B7" s="280"/>
      <c r="C7" s="280"/>
      <c r="D7" s="284" t="s">
        <v>488</v>
      </c>
      <c r="E7" s="285">
        <v>0</v>
      </c>
      <c r="F7" s="279" t="s">
        <v>489</v>
      </c>
      <c r="G7" s="280"/>
      <c r="H7" s="280"/>
      <c r="I7" s="280"/>
      <c r="J7" s="280"/>
      <c r="K7" s="280"/>
      <c r="L7" s="280"/>
    </row>
    <row r="8" spans="1:12" s="283" customFormat="1" ht="15.95" customHeight="1" x14ac:dyDescent="0.25">
      <c r="A8" s="280"/>
      <c r="B8" s="280"/>
      <c r="C8" s="280"/>
      <c r="D8" s="281" t="s">
        <v>490</v>
      </c>
      <c r="E8" s="282">
        <v>1768002895</v>
      </c>
      <c r="F8" s="280"/>
      <c r="G8" s="286"/>
      <c r="H8" s="280"/>
      <c r="I8" s="280"/>
      <c r="J8" s="280"/>
      <c r="K8" s="280"/>
      <c r="L8" s="280"/>
    </row>
    <row r="9" spans="1:12" s="283" customFormat="1" ht="8.1" customHeight="1" x14ac:dyDescent="0.25">
      <c r="A9" s="280"/>
      <c r="B9" s="280"/>
      <c r="C9" s="280"/>
      <c r="D9" s="280"/>
      <c r="E9" s="280"/>
      <c r="F9" s="280"/>
      <c r="G9" s="280"/>
      <c r="H9" s="280"/>
      <c r="I9" s="280"/>
      <c r="J9" s="280"/>
      <c r="K9" s="280"/>
      <c r="L9" s="280"/>
    </row>
    <row r="10" spans="1:12" s="287" customFormat="1" ht="27.95" customHeight="1" x14ac:dyDescent="0.25">
      <c r="A10" s="313" t="s">
        <v>491</v>
      </c>
      <c r="B10" s="313"/>
      <c r="C10" s="313"/>
      <c r="D10" s="313"/>
      <c r="E10" s="313"/>
      <c r="F10" s="313"/>
      <c r="G10" s="313"/>
      <c r="H10" s="313"/>
      <c r="I10" s="313"/>
      <c r="J10" s="313"/>
      <c r="K10" s="313"/>
      <c r="L10" s="313"/>
    </row>
    <row r="11" spans="1:12" s="283" customFormat="1" x14ac:dyDescent="0.25">
      <c r="A11" s="280"/>
      <c r="B11" s="280"/>
      <c r="C11" s="280"/>
      <c r="D11" s="280"/>
      <c r="E11" s="280"/>
      <c r="F11" s="280"/>
      <c r="G11" s="280"/>
      <c r="H11" s="280"/>
      <c r="I11" s="280"/>
      <c r="J11" s="280"/>
      <c r="K11" s="280"/>
      <c r="L11" s="280"/>
    </row>
    <row r="12" spans="1:12" ht="21.95" customHeight="1" x14ac:dyDescent="0.25">
      <c r="A12" s="316" t="s">
        <v>492</v>
      </c>
      <c r="B12" s="288"/>
      <c r="C12" s="316" t="s">
        <v>493</v>
      </c>
      <c r="D12" s="316" t="s">
        <v>494</v>
      </c>
      <c r="E12" s="316" t="s">
        <v>495</v>
      </c>
      <c r="F12" s="316" t="s">
        <v>496</v>
      </c>
      <c r="G12" s="316" t="s">
        <v>497</v>
      </c>
      <c r="H12" s="316" t="s">
        <v>498</v>
      </c>
      <c r="I12" s="316" t="s">
        <v>499</v>
      </c>
      <c r="J12" s="316" t="s">
        <v>123</v>
      </c>
      <c r="K12" s="316" t="s">
        <v>500</v>
      </c>
      <c r="L12" s="316" t="s">
        <v>501</v>
      </c>
    </row>
    <row r="13" spans="1:12" ht="21.95" customHeight="1" x14ac:dyDescent="0.25">
      <c r="A13" s="316"/>
      <c r="B13" s="289"/>
      <c r="C13" s="316"/>
      <c r="D13" s="316"/>
      <c r="E13" s="316"/>
      <c r="F13" s="316"/>
      <c r="G13" s="316"/>
      <c r="H13" s="316"/>
      <c r="I13" s="316"/>
      <c r="J13" s="316"/>
      <c r="K13" s="316"/>
      <c r="L13" s="316"/>
    </row>
    <row r="14" spans="1:12" ht="15" customHeight="1" x14ac:dyDescent="0.25">
      <c r="A14" s="290"/>
      <c r="B14" s="290"/>
      <c r="C14" s="291" t="s">
        <v>502</v>
      </c>
      <c r="D14" s="291" t="s">
        <v>503</v>
      </c>
      <c r="E14" s="291" t="s">
        <v>504</v>
      </c>
      <c r="F14" s="291" t="s">
        <v>505</v>
      </c>
      <c r="G14" s="291" t="s">
        <v>506</v>
      </c>
      <c r="H14" s="291" t="s">
        <v>507</v>
      </c>
      <c r="I14" s="291" t="s">
        <v>508</v>
      </c>
      <c r="J14" s="291" t="s">
        <v>509</v>
      </c>
      <c r="K14" s="291" t="s">
        <v>510</v>
      </c>
      <c r="L14" s="292"/>
    </row>
    <row r="15" spans="1:12" ht="15.95" customHeight="1" x14ac:dyDescent="0.25">
      <c r="A15" s="292" t="s">
        <v>511</v>
      </c>
      <c r="B15" s="291" t="s">
        <v>512</v>
      </c>
      <c r="C15" s="293">
        <v>60592025</v>
      </c>
      <c r="D15" s="293">
        <v>216082893</v>
      </c>
      <c r="E15" s="293">
        <v>30534182</v>
      </c>
      <c r="F15" s="293">
        <v>52137320</v>
      </c>
      <c r="G15" s="294"/>
      <c r="H15" s="294"/>
      <c r="I15" s="293">
        <v>514245805</v>
      </c>
      <c r="J15" s="293">
        <v>78229215</v>
      </c>
      <c r="K15" s="293">
        <v>0</v>
      </c>
      <c r="L15" s="295">
        <v>951821440</v>
      </c>
    </row>
    <row r="16" spans="1:12" ht="8.1" customHeight="1" x14ac:dyDescent="0.25">
      <c r="A16" s="296"/>
      <c r="B16" s="297"/>
      <c r="C16" s="298"/>
      <c r="D16" s="298"/>
      <c r="E16" s="298"/>
      <c r="F16" s="298"/>
      <c r="G16" s="298"/>
      <c r="H16" s="298"/>
      <c r="I16" s="298"/>
      <c r="J16" s="298"/>
      <c r="K16" s="298"/>
      <c r="L16" s="299"/>
    </row>
    <row r="17" spans="1:12" ht="15.95" customHeight="1" x14ac:dyDescent="0.25">
      <c r="A17" s="292" t="s">
        <v>513</v>
      </c>
      <c r="B17" s="291" t="s">
        <v>514</v>
      </c>
      <c r="C17" s="293">
        <v>224063178</v>
      </c>
      <c r="D17" s="293">
        <v>36141750</v>
      </c>
      <c r="E17" s="293">
        <v>129100085</v>
      </c>
      <c r="F17" s="300"/>
      <c r="G17" s="293">
        <v>5179543</v>
      </c>
      <c r="H17" s="293">
        <v>11574799</v>
      </c>
      <c r="I17" s="300"/>
      <c r="J17" s="293">
        <v>30362141</v>
      </c>
      <c r="K17" s="293">
        <v>0</v>
      </c>
      <c r="L17" s="295">
        <v>436421496</v>
      </c>
    </row>
    <row r="18" spans="1:12" ht="8.1" customHeight="1" x14ac:dyDescent="0.25">
      <c r="A18" s="297"/>
      <c r="B18" s="297"/>
      <c r="C18" s="301"/>
      <c r="D18" s="301"/>
      <c r="E18" s="301"/>
      <c r="F18" s="301"/>
      <c r="G18" s="301"/>
      <c r="H18" s="301"/>
      <c r="I18" s="301"/>
      <c r="J18" s="301"/>
      <c r="K18" s="301"/>
      <c r="L18" s="302"/>
    </row>
    <row r="19" spans="1:12" s="55" customFormat="1" ht="15.95" customHeight="1" x14ac:dyDescent="0.25">
      <c r="A19" s="292" t="s">
        <v>501</v>
      </c>
      <c r="B19" s="292"/>
      <c r="C19" s="295">
        <v>284655203</v>
      </c>
      <c r="D19" s="295">
        <v>252224643</v>
      </c>
      <c r="E19" s="295">
        <v>159634267</v>
      </c>
      <c r="F19" s="295">
        <v>52137320</v>
      </c>
      <c r="G19" s="295">
        <v>5179543</v>
      </c>
      <c r="H19" s="295">
        <v>11574799</v>
      </c>
      <c r="I19" s="295">
        <v>514245805</v>
      </c>
      <c r="J19" s="295">
        <v>108591356</v>
      </c>
      <c r="K19" s="295">
        <v>0</v>
      </c>
      <c r="L19" s="295">
        <v>1388242936</v>
      </c>
    </row>
    <row r="20" spans="1:12" x14ac:dyDescent="0.25">
      <c r="A20" s="303"/>
      <c r="B20" s="303"/>
      <c r="C20" s="303"/>
      <c r="D20" s="303"/>
      <c r="E20" s="303"/>
      <c r="F20" s="303"/>
      <c r="G20" s="303"/>
      <c r="H20" s="303"/>
      <c r="I20" s="303"/>
      <c r="J20" s="303"/>
      <c r="K20" s="303"/>
      <c r="L20" s="304" t="s">
        <v>515</v>
      </c>
    </row>
    <row r="21" spans="1:12" x14ac:dyDescent="0.25">
      <c r="L21" s="305"/>
    </row>
    <row r="22" spans="1:12" ht="20.100000000000001" customHeight="1" x14ac:dyDescent="0.25">
      <c r="A22" s="315" t="s">
        <v>516</v>
      </c>
      <c r="B22" s="315"/>
      <c r="C22" s="315"/>
      <c r="D22" s="315"/>
      <c r="E22" s="315"/>
      <c r="F22" s="315"/>
      <c r="G22" s="315"/>
      <c r="H22" s="315"/>
      <c r="I22" s="315"/>
      <c r="J22" s="315"/>
      <c r="K22" s="315"/>
      <c r="L22" s="306">
        <v>2026</v>
      </c>
    </row>
    <row r="23" spans="1:12" x14ac:dyDescent="0.25">
      <c r="A23" s="277"/>
      <c r="B23" s="278"/>
      <c r="C23" s="278"/>
      <c r="D23" s="278"/>
      <c r="E23" s="278"/>
      <c r="F23" s="278"/>
      <c r="G23" s="278"/>
      <c r="H23" s="278"/>
      <c r="I23" s="278"/>
      <c r="J23" s="278"/>
      <c r="K23" s="278"/>
      <c r="L23" s="278"/>
    </row>
    <row r="24" spans="1:12" s="283" customFormat="1" ht="15.95" customHeight="1" x14ac:dyDescent="0.25">
      <c r="A24" s="279" t="s">
        <v>483</v>
      </c>
      <c r="B24" s="280"/>
      <c r="C24" s="280"/>
      <c r="D24" s="281" t="s">
        <v>484</v>
      </c>
      <c r="E24" s="282">
        <v>392335639</v>
      </c>
      <c r="F24" s="279" t="s">
        <v>485</v>
      </c>
      <c r="G24" s="280"/>
      <c r="H24" s="280"/>
      <c r="I24" s="280"/>
      <c r="J24" s="280"/>
      <c r="K24" s="280"/>
      <c r="L24" s="280"/>
    </row>
    <row r="25" spans="1:12" s="283" customFormat="1" ht="15.95" customHeight="1" x14ac:dyDescent="0.25">
      <c r="A25" s="279"/>
      <c r="B25" s="280"/>
      <c r="C25" s="280"/>
      <c r="D25" s="281"/>
      <c r="E25" s="282">
        <v>88366743</v>
      </c>
      <c r="F25" s="279" t="s">
        <v>486</v>
      </c>
      <c r="G25" s="280"/>
      <c r="H25" s="280"/>
      <c r="I25" s="280"/>
      <c r="J25" s="280"/>
      <c r="K25" s="280"/>
      <c r="L25" s="280"/>
    </row>
    <row r="26" spans="1:12" s="283" customFormat="1" ht="15.95" customHeight="1" x14ac:dyDescent="0.25">
      <c r="A26" s="279"/>
      <c r="B26" s="280"/>
      <c r="C26" s="280"/>
      <c r="D26" s="281"/>
      <c r="E26" s="282">
        <v>7851843</v>
      </c>
      <c r="F26" s="279" t="s">
        <v>487</v>
      </c>
      <c r="G26" s="280"/>
      <c r="H26" s="280"/>
      <c r="I26" s="280"/>
      <c r="J26" s="280"/>
      <c r="K26" s="280"/>
      <c r="L26" s="280"/>
    </row>
    <row r="27" spans="1:12" s="283" customFormat="1" ht="15.95" customHeight="1" x14ac:dyDescent="0.25">
      <c r="A27" s="280"/>
      <c r="B27" s="280"/>
      <c r="C27" s="280"/>
      <c r="D27" s="284" t="s">
        <v>488</v>
      </c>
      <c r="E27" s="285">
        <v>0</v>
      </c>
      <c r="F27" s="279" t="s">
        <v>489</v>
      </c>
      <c r="G27" s="280"/>
      <c r="H27" s="280"/>
      <c r="I27" s="280"/>
      <c r="J27" s="280"/>
      <c r="K27" s="280"/>
      <c r="L27" s="280"/>
    </row>
    <row r="28" spans="1:12" s="283" customFormat="1" ht="15.95" customHeight="1" x14ac:dyDescent="0.25">
      <c r="A28" s="280"/>
      <c r="B28" s="280"/>
      <c r="C28" s="280"/>
      <c r="D28" s="281" t="s">
        <v>490</v>
      </c>
      <c r="E28" s="282">
        <v>488554225</v>
      </c>
      <c r="F28" s="280"/>
      <c r="G28" s="286"/>
      <c r="H28" s="280"/>
      <c r="I28" s="280"/>
      <c r="J28" s="280"/>
      <c r="K28" s="280"/>
      <c r="L28" s="280"/>
    </row>
    <row r="29" spans="1:12" s="283" customFormat="1" ht="8.1" customHeight="1" x14ac:dyDescent="0.25">
      <c r="A29" s="280"/>
      <c r="B29" s="280"/>
      <c r="C29" s="280"/>
      <c r="D29" s="280"/>
      <c r="E29" s="280"/>
      <c r="F29" s="280"/>
      <c r="G29" s="280"/>
      <c r="H29" s="280"/>
      <c r="I29" s="280"/>
      <c r="J29" s="280"/>
      <c r="K29" s="280"/>
      <c r="L29" s="280"/>
    </row>
    <row r="30" spans="1:12" s="287" customFormat="1" ht="27.95" customHeight="1" x14ac:dyDescent="0.25">
      <c r="A30" s="313" t="s">
        <v>517</v>
      </c>
      <c r="B30" s="313"/>
      <c r="C30" s="313"/>
      <c r="D30" s="313"/>
      <c r="E30" s="313"/>
      <c r="F30" s="313"/>
      <c r="G30" s="313"/>
      <c r="H30" s="313"/>
      <c r="I30" s="313"/>
      <c r="J30" s="313"/>
      <c r="K30" s="313"/>
      <c r="L30" s="313"/>
    </row>
    <row r="31" spans="1:12" s="283" customFormat="1" ht="8.1" customHeight="1" x14ac:dyDescent="0.25">
      <c r="A31" s="280"/>
      <c r="B31" s="280"/>
      <c r="C31" s="280"/>
      <c r="D31" s="280"/>
      <c r="E31" s="280"/>
      <c r="F31" s="280"/>
      <c r="G31" s="280"/>
      <c r="H31" s="280"/>
      <c r="I31" s="280"/>
      <c r="J31" s="280"/>
      <c r="K31" s="280"/>
      <c r="L31" s="280"/>
    </row>
    <row r="32" spans="1:12" ht="21.95" customHeight="1" x14ac:dyDescent="0.25">
      <c r="A32" s="319" t="s">
        <v>492</v>
      </c>
      <c r="B32" s="288"/>
      <c r="C32" s="319" t="s">
        <v>493</v>
      </c>
      <c r="D32" s="319" t="s">
        <v>494</v>
      </c>
      <c r="E32" s="319" t="s">
        <v>495</v>
      </c>
      <c r="F32" s="319" t="s">
        <v>496</v>
      </c>
      <c r="G32" s="319" t="s">
        <v>497</v>
      </c>
      <c r="H32" s="319" t="s">
        <v>498</v>
      </c>
      <c r="I32" s="319" t="s">
        <v>499</v>
      </c>
      <c r="J32" s="319" t="s">
        <v>123</v>
      </c>
      <c r="K32" s="319" t="s">
        <v>500</v>
      </c>
      <c r="L32" s="319" t="s">
        <v>501</v>
      </c>
    </row>
    <row r="33" spans="1:12" ht="21.95" customHeight="1" x14ac:dyDescent="0.25">
      <c r="A33" s="320"/>
      <c r="B33" s="289"/>
      <c r="C33" s="320"/>
      <c r="D33" s="320"/>
      <c r="E33" s="320"/>
      <c r="F33" s="320"/>
      <c r="G33" s="320"/>
      <c r="H33" s="320"/>
      <c r="I33" s="320"/>
      <c r="J33" s="320"/>
      <c r="K33" s="320"/>
      <c r="L33" s="320"/>
    </row>
    <row r="34" spans="1:12" ht="15" customHeight="1" x14ac:dyDescent="0.25">
      <c r="A34" s="290"/>
      <c r="B34" s="290"/>
      <c r="C34" s="291" t="s">
        <v>502</v>
      </c>
      <c r="D34" s="291" t="s">
        <v>503</v>
      </c>
      <c r="E34" s="291" t="s">
        <v>504</v>
      </c>
      <c r="F34" s="291" t="s">
        <v>505</v>
      </c>
      <c r="G34" s="291" t="s">
        <v>506</v>
      </c>
      <c r="H34" s="291" t="s">
        <v>507</v>
      </c>
      <c r="I34" s="291" t="s">
        <v>508</v>
      </c>
      <c r="J34" s="291" t="s">
        <v>509</v>
      </c>
      <c r="K34" s="291" t="s">
        <v>510</v>
      </c>
      <c r="L34" s="292"/>
    </row>
    <row r="35" spans="1:12" ht="15.95" customHeight="1" x14ac:dyDescent="0.25">
      <c r="A35" s="292" t="s">
        <v>511</v>
      </c>
      <c r="B35" s="291" t="s">
        <v>512</v>
      </c>
      <c r="C35" s="293">
        <v>19142917</v>
      </c>
      <c r="D35" s="293">
        <v>56891039</v>
      </c>
      <c r="E35" s="293">
        <v>8448808</v>
      </c>
      <c r="F35" s="293">
        <v>11038380</v>
      </c>
      <c r="G35" s="294"/>
      <c r="H35" s="294"/>
      <c r="I35" s="293">
        <v>137257399</v>
      </c>
      <c r="J35" s="293">
        <v>25816731</v>
      </c>
      <c r="K35" s="293">
        <v>0</v>
      </c>
      <c r="L35" s="295">
        <v>258595274</v>
      </c>
    </row>
    <row r="36" spans="1:12" ht="8.1" customHeight="1" x14ac:dyDescent="0.25">
      <c r="A36" s="296"/>
      <c r="B36" s="297"/>
      <c r="C36" s="298"/>
      <c r="D36" s="298"/>
      <c r="E36" s="298"/>
      <c r="F36" s="298"/>
      <c r="G36" s="298"/>
      <c r="H36" s="298"/>
      <c r="I36" s="298"/>
      <c r="J36" s="298"/>
      <c r="K36" s="298"/>
      <c r="L36" s="299"/>
    </row>
    <row r="37" spans="1:12" ht="15.95" customHeight="1" x14ac:dyDescent="0.25">
      <c r="A37" s="292" t="s">
        <v>513</v>
      </c>
      <c r="B37" s="291" t="s">
        <v>514</v>
      </c>
      <c r="C37" s="293">
        <v>72980018</v>
      </c>
      <c r="D37" s="293">
        <v>10406615</v>
      </c>
      <c r="E37" s="293">
        <v>32862892</v>
      </c>
      <c r="F37" s="300"/>
      <c r="G37" s="293">
        <v>2608243</v>
      </c>
      <c r="H37" s="293">
        <v>4463200</v>
      </c>
      <c r="I37" s="300"/>
      <c r="J37" s="293">
        <v>10419397</v>
      </c>
      <c r="K37" s="293">
        <v>0</v>
      </c>
      <c r="L37" s="295">
        <v>133740365</v>
      </c>
    </row>
    <row r="38" spans="1:12" ht="8.1" customHeight="1" x14ac:dyDescent="0.25">
      <c r="A38" s="297"/>
      <c r="B38" s="297"/>
      <c r="C38" s="301"/>
      <c r="D38" s="301"/>
      <c r="E38" s="301"/>
      <c r="F38" s="301"/>
      <c r="G38" s="301"/>
      <c r="H38" s="301"/>
      <c r="I38" s="301"/>
      <c r="J38" s="301"/>
      <c r="K38" s="301"/>
      <c r="L38" s="302"/>
    </row>
    <row r="39" spans="1:12" s="55" customFormat="1" ht="15.95" customHeight="1" x14ac:dyDescent="0.25">
      <c r="A39" s="292" t="s">
        <v>501</v>
      </c>
      <c r="B39" s="292"/>
      <c r="C39" s="295">
        <v>92122935</v>
      </c>
      <c r="D39" s="295">
        <v>67297654</v>
      </c>
      <c r="E39" s="295">
        <v>41311700</v>
      </c>
      <c r="F39" s="295">
        <v>11038380</v>
      </c>
      <c r="G39" s="295">
        <v>2608243</v>
      </c>
      <c r="H39" s="295">
        <v>4463200</v>
      </c>
      <c r="I39" s="295">
        <v>137257399</v>
      </c>
      <c r="J39" s="295">
        <v>36236128</v>
      </c>
      <c r="K39" s="295">
        <v>0</v>
      </c>
      <c r="L39" s="295">
        <v>392335639</v>
      </c>
    </row>
    <row r="40" spans="1:12" x14ac:dyDescent="0.25">
      <c r="A40" s="317" t="s">
        <v>518</v>
      </c>
      <c r="B40" s="317"/>
      <c r="C40" s="317"/>
      <c r="D40" s="317"/>
      <c r="E40" s="317"/>
      <c r="F40" s="317"/>
      <c r="G40" s="317"/>
    </row>
    <row r="41" spans="1:12" x14ac:dyDescent="0.25">
      <c r="A41" s="318"/>
      <c r="B41" s="318"/>
      <c r="C41" s="318"/>
      <c r="D41" s="318"/>
      <c r="E41" s="318"/>
      <c r="F41" s="318"/>
      <c r="G41" s="318"/>
      <c r="H41" s="303"/>
      <c r="I41" s="303"/>
      <c r="J41" s="303"/>
      <c r="K41" s="303"/>
      <c r="L41" s="304" t="s">
        <v>515</v>
      </c>
    </row>
    <row r="42" spans="1:12" x14ac:dyDescent="0.25">
      <c r="L42" s="54"/>
    </row>
    <row r="43" spans="1:12" ht="20.100000000000001" customHeight="1" x14ac:dyDescent="0.25">
      <c r="L43" s="54"/>
    </row>
    <row r="44" spans="1:12" x14ac:dyDescent="0.25">
      <c r="L44" s="54"/>
    </row>
    <row r="45" spans="1:12" s="283" customFormat="1" ht="15.95" customHeight="1" x14ac:dyDescent="0.25"/>
    <row r="46" spans="1:12" s="283" customFormat="1" ht="15.95" customHeight="1" x14ac:dyDescent="0.25"/>
    <row r="47" spans="1:12" s="283" customFormat="1" ht="15.95" customHeight="1" x14ac:dyDescent="0.25"/>
    <row r="48" spans="1:12" s="283" customFormat="1" ht="8.1" customHeight="1" x14ac:dyDescent="0.25"/>
    <row r="49" spans="12:12" s="287" customFormat="1" ht="27.95" customHeight="1" x14ac:dyDescent="0.25"/>
    <row r="50" spans="12:12" s="283" customFormat="1" ht="8.1" customHeight="1" x14ac:dyDescent="0.25"/>
    <row r="51" spans="12:12" ht="21.95" customHeight="1" x14ac:dyDescent="0.25">
      <c r="L51" s="54"/>
    </row>
    <row r="52" spans="12:12" ht="21.95" customHeight="1" x14ac:dyDescent="0.25">
      <c r="L52" s="54"/>
    </row>
    <row r="53" spans="12:12" ht="15" customHeight="1" x14ac:dyDescent="0.25">
      <c r="L53" s="54"/>
    </row>
    <row r="54" spans="12:12" ht="15.95" customHeight="1" x14ac:dyDescent="0.25">
      <c r="L54" s="54"/>
    </row>
    <row r="55" spans="12:12" ht="8.1" customHeight="1" x14ac:dyDescent="0.25">
      <c r="L55" s="54"/>
    </row>
    <row r="56" spans="12:12" ht="15.95" customHeight="1" x14ac:dyDescent="0.25">
      <c r="L56" s="54"/>
    </row>
    <row r="57" spans="12:12" ht="8.1" customHeight="1" x14ac:dyDescent="0.25">
      <c r="L57" s="54"/>
    </row>
    <row r="58" spans="12:12" s="55" customFormat="1" ht="15.95" customHeight="1" x14ac:dyDescent="0.25"/>
    <row r="59" spans="12:12" x14ac:dyDescent="0.25">
      <c r="L59" s="54"/>
    </row>
    <row r="60" spans="12:12" ht="20.100000000000001" customHeight="1" x14ac:dyDescent="0.25">
      <c r="L60" s="54"/>
    </row>
    <row r="61" spans="12:12" x14ac:dyDescent="0.25">
      <c r="L61" s="54"/>
    </row>
    <row r="62" spans="12:12" s="283" customFormat="1" ht="15.95" customHeight="1" x14ac:dyDescent="0.25"/>
    <row r="63" spans="12:12" s="283" customFormat="1" ht="15.95" customHeight="1" x14ac:dyDescent="0.25"/>
    <row r="64" spans="12:12" s="283" customFormat="1" ht="15.95" customHeight="1" x14ac:dyDescent="0.25"/>
    <row r="65" spans="12:12" s="283" customFormat="1" ht="8.1" customHeight="1" x14ac:dyDescent="0.25"/>
    <row r="66" spans="12:12" s="287" customFormat="1" ht="27.95" customHeight="1" x14ac:dyDescent="0.25"/>
    <row r="67" spans="12:12" s="283" customFormat="1" ht="8.1" customHeight="1" x14ac:dyDescent="0.25"/>
    <row r="68" spans="12:12" ht="21.95" customHeight="1" x14ac:dyDescent="0.25">
      <c r="L68" s="54"/>
    </row>
    <row r="69" spans="12:12" ht="21.95" customHeight="1" x14ac:dyDescent="0.25">
      <c r="L69" s="54"/>
    </row>
    <row r="70" spans="12:12" ht="15" customHeight="1" x14ac:dyDescent="0.25">
      <c r="L70" s="54"/>
    </row>
    <row r="71" spans="12:12" ht="15.95" customHeight="1" x14ac:dyDescent="0.25">
      <c r="L71" s="54"/>
    </row>
    <row r="72" spans="12:12" ht="8.1" customHeight="1" x14ac:dyDescent="0.25">
      <c r="L72" s="54"/>
    </row>
    <row r="73" spans="12:12" ht="15.95" customHeight="1" x14ac:dyDescent="0.25">
      <c r="L73" s="54"/>
    </row>
    <row r="74" spans="12:12" ht="8.1" customHeight="1" x14ac:dyDescent="0.25">
      <c r="L74" s="54"/>
    </row>
    <row r="75" spans="12:12" s="55" customFormat="1" ht="15.95" customHeight="1" x14ac:dyDescent="0.25"/>
    <row r="76" spans="12:12" x14ac:dyDescent="0.25">
      <c r="L76" s="54"/>
    </row>
    <row r="77" spans="12:12" ht="20.100000000000001" customHeight="1" x14ac:dyDescent="0.25">
      <c r="L77" s="54"/>
    </row>
    <row r="78" spans="12:12" x14ac:dyDescent="0.25">
      <c r="L78" s="54"/>
    </row>
    <row r="79" spans="12:12" s="283" customFormat="1" ht="15.95" customHeight="1" x14ac:dyDescent="0.25"/>
    <row r="80" spans="12:12" s="283" customFormat="1" ht="15.95" customHeight="1" x14ac:dyDescent="0.25"/>
    <row r="81" spans="12:12" s="283" customFormat="1" ht="15.95" customHeight="1" x14ac:dyDescent="0.25"/>
    <row r="82" spans="12:12" s="283" customFormat="1" ht="8.1" customHeight="1" x14ac:dyDescent="0.25"/>
    <row r="83" spans="12:12" s="287" customFormat="1" ht="27.95" customHeight="1" x14ac:dyDescent="0.25"/>
    <row r="84" spans="12:12" s="283" customFormat="1" ht="8.1" customHeight="1" x14ac:dyDescent="0.25"/>
    <row r="85" spans="12:12" ht="21.95" customHeight="1" x14ac:dyDescent="0.25">
      <c r="L85" s="54"/>
    </row>
    <row r="86" spans="12:12" ht="21.95" customHeight="1" x14ac:dyDescent="0.25">
      <c r="L86" s="54"/>
    </row>
    <row r="87" spans="12:12" ht="15" customHeight="1" x14ac:dyDescent="0.25">
      <c r="L87" s="54"/>
    </row>
    <row r="88" spans="12:12" ht="15.95" customHeight="1" x14ac:dyDescent="0.25">
      <c r="L88" s="54"/>
    </row>
    <row r="89" spans="12:12" ht="8.1" customHeight="1" x14ac:dyDescent="0.25">
      <c r="L89" s="54"/>
    </row>
    <row r="90" spans="12:12" ht="15.95" customHeight="1" x14ac:dyDescent="0.25">
      <c r="L90" s="54"/>
    </row>
    <row r="91" spans="12:12" ht="8.1" customHeight="1" x14ac:dyDescent="0.25">
      <c r="L91" s="54"/>
    </row>
    <row r="92" spans="12:12" s="55" customFormat="1" ht="15.95" customHeight="1" x14ac:dyDescent="0.25"/>
    <row r="93" spans="12:12" x14ac:dyDescent="0.25">
      <c r="L93" s="54"/>
    </row>
    <row r="94" spans="12:12" ht="20.100000000000001" customHeight="1" x14ac:dyDescent="0.25">
      <c r="L94" s="54"/>
    </row>
    <row r="95" spans="12:12" x14ac:dyDescent="0.25">
      <c r="L95" s="54"/>
    </row>
    <row r="96" spans="12:12" s="283" customFormat="1" ht="15.95" customHeight="1" x14ac:dyDescent="0.25"/>
    <row r="97" spans="12:12" s="283" customFormat="1" ht="15.95" customHeight="1" x14ac:dyDescent="0.25"/>
    <row r="98" spans="12:12" s="283" customFormat="1" ht="15.95" customHeight="1" x14ac:dyDescent="0.25"/>
    <row r="99" spans="12:12" s="283" customFormat="1" ht="8.1" customHeight="1" x14ac:dyDescent="0.25"/>
    <row r="100" spans="12:12" s="287" customFormat="1" ht="27.95" customHeight="1" x14ac:dyDescent="0.25"/>
    <row r="101" spans="12:12" s="283" customFormat="1" ht="8.1" customHeight="1" x14ac:dyDescent="0.25"/>
    <row r="102" spans="12:12" ht="21.95" customHeight="1" x14ac:dyDescent="0.25">
      <c r="L102" s="54"/>
    </row>
    <row r="103" spans="12:12" ht="21.95" customHeight="1" x14ac:dyDescent="0.25">
      <c r="L103" s="54"/>
    </row>
    <row r="104" spans="12:12" ht="15" customHeight="1" x14ac:dyDescent="0.25">
      <c r="L104" s="54"/>
    </row>
    <row r="105" spans="12:12" ht="15.95" customHeight="1" x14ac:dyDescent="0.25">
      <c r="L105" s="54"/>
    </row>
    <row r="106" spans="12:12" ht="8.1" customHeight="1" x14ac:dyDescent="0.25">
      <c r="L106" s="54"/>
    </row>
    <row r="107" spans="12:12" ht="15.95" customHeight="1" x14ac:dyDescent="0.25">
      <c r="L107" s="54"/>
    </row>
    <row r="108" spans="12:12" ht="8.1" customHeight="1" x14ac:dyDescent="0.25">
      <c r="L108" s="54"/>
    </row>
    <row r="109" spans="12:12" s="55" customFormat="1" ht="15.95" customHeight="1" x14ac:dyDescent="0.25"/>
    <row r="110" spans="12:12" x14ac:dyDescent="0.25">
      <c r="L110" s="54"/>
    </row>
    <row r="111" spans="12:12" ht="20.100000000000001" customHeight="1" x14ac:dyDescent="0.25">
      <c r="L111" s="54"/>
    </row>
    <row r="112" spans="12:12" x14ac:dyDescent="0.25">
      <c r="L112" s="54"/>
    </row>
    <row r="113" spans="12:12" s="283" customFormat="1" ht="15.95" customHeight="1" x14ac:dyDescent="0.25"/>
    <row r="114" spans="12:12" s="283" customFormat="1" ht="15.95" customHeight="1" x14ac:dyDescent="0.25"/>
    <row r="115" spans="12:12" s="283" customFormat="1" ht="15.95" customHeight="1" x14ac:dyDescent="0.25"/>
    <row r="116" spans="12:12" s="283" customFormat="1" ht="8.1" customHeight="1" x14ac:dyDescent="0.25"/>
    <row r="117" spans="12:12" s="287" customFormat="1" ht="27.95" customHeight="1" x14ac:dyDescent="0.25"/>
    <row r="118" spans="12:12" s="283" customFormat="1" ht="8.1" customHeight="1" x14ac:dyDescent="0.25"/>
    <row r="119" spans="12:12" ht="21.95" customHeight="1" x14ac:dyDescent="0.25">
      <c r="L119" s="54"/>
    </row>
    <row r="120" spans="12:12" ht="21.95" customHeight="1" x14ac:dyDescent="0.25">
      <c r="L120" s="54"/>
    </row>
    <row r="121" spans="12:12" ht="15" customHeight="1" x14ac:dyDescent="0.25">
      <c r="L121" s="54"/>
    </row>
    <row r="122" spans="12:12" ht="15.95" customHeight="1" x14ac:dyDescent="0.25">
      <c r="L122" s="54"/>
    </row>
    <row r="123" spans="12:12" ht="8.1" customHeight="1" x14ac:dyDescent="0.25">
      <c r="L123" s="54"/>
    </row>
    <row r="124" spans="12:12" ht="15.95" customHeight="1" x14ac:dyDescent="0.25">
      <c r="L124" s="54"/>
    </row>
    <row r="125" spans="12:12" ht="8.1" customHeight="1" x14ac:dyDescent="0.25">
      <c r="L125" s="54"/>
    </row>
    <row r="126" spans="12:12" s="55" customFormat="1" ht="15.95" customHeight="1" x14ac:dyDescent="0.25"/>
    <row r="127" spans="12:12" x14ac:dyDescent="0.25">
      <c r="L127" s="54"/>
    </row>
    <row r="128" spans="12:12" ht="20.100000000000001" customHeight="1" x14ac:dyDescent="0.25">
      <c r="L128" s="54"/>
    </row>
    <row r="129" spans="12:12" x14ac:dyDescent="0.25">
      <c r="L129" s="54"/>
    </row>
    <row r="130" spans="12:12" s="283" customFormat="1" ht="15.95" customHeight="1" x14ac:dyDescent="0.25"/>
    <row r="131" spans="12:12" s="283" customFormat="1" ht="15.95" customHeight="1" x14ac:dyDescent="0.25"/>
    <row r="132" spans="12:12" s="283" customFormat="1" ht="15.95" customHeight="1" x14ac:dyDescent="0.25"/>
    <row r="133" spans="12:12" s="283" customFormat="1" ht="8.1" customHeight="1" x14ac:dyDescent="0.25"/>
    <row r="134" spans="12:12" s="287" customFormat="1" ht="27.95" customHeight="1" x14ac:dyDescent="0.25"/>
    <row r="135" spans="12:12" s="283" customFormat="1" ht="8.1" customHeight="1" x14ac:dyDescent="0.25"/>
    <row r="136" spans="12:12" ht="21.95" customHeight="1" x14ac:dyDescent="0.25">
      <c r="L136" s="54"/>
    </row>
    <row r="137" spans="12:12" ht="21.95" customHeight="1" x14ac:dyDescent="0.25">
      <c r="L137" s="54"/>
    </row>
    <row r="138" spans="12:12" ht="15" customHeight="1" x14ac:dyDescent="0.25">
      <c r="L138" s="54"/>
    </row>
    <row r="139" spans="12:12" ht="15.95" customHeight="1" x14ac:dyDescent="0.25">
      <c r="L139" s="54"/>
    </row>
    <row r="140" spans="12:12" ht="8.1" customHeight="1" x14ac:dyDescent="0.25">
      <c r="L140" s="54"/>
    </row>
    <row r="141" spans="12:12" ht="15.95" customHeight="1" x14ac:dyDescent="0.25">
      <c r="L141" s="54"/>
    </row>
    <row r="142" spans="12:12" ht="8.1" customHeight="1" x14ac:dyDescent="0.25">
      <c r="L142" s="54"/>
    </row>
    <row r="143" spans="12:12" s="55" customFormat="1" ht="15.95" customHeight="1" x14ac:dyDescent="0.25"/>
    <row r="144" spans="12:12" x14ac:dyDescent="0.25">
      <c r="L144" s="54"/>
    </row>
    <row r="145" spans="12:12" ht="20.100000000000001" customHeight="1" x14ac:dyDescent="0.25">
      <c r="L145" s="54"/>
    </row>
    <row r="146" spans="12:12" x14ac:dyDescent="0.25">
      <c r="L146" s="54"/>
    </row>
    <row r="147" spans="12:12" s="283" customFormat="1" ht="15.95" customHeight="1" x14ac:dyDescent="0.25"/>
    <row r="148" spans="12:12" s="283" customFormat="1" ht="15.95" customHeight="1" x14ac:dyDescent="0.25"/>
    <row r="149" spans="12:12" s="283" customFormat="1" ht="15.95" customHeight="1" x14ac:dyDescent="0.25"/>
    <row r="150" spans="12:12" s="283" customFormat="1" ht="8.1" customHeight="1" x14ac:dyDescent="0.25"/>
    <row r="151" spans="12:12" s="287" customFormat="1" ht="27.95" customHeight="1" x14ac:dyDescent="0.25"/>
    <row r="152" spans="12:12" s="283" customFormat="1" ht="8.1" customHeight="1" x14ac:dyDescent="0.25"/>
    <row r="153" spans="12:12" ht="21.95" customHeight="1" x14ac:dyDescent="0.25">
      <c r="L153" s="54"/>
    </row>
    <row r="154" spans="12:12" ht="21.95" customHeight="1" x14ac:dyDescent="0.25">
      <c r="L154" s="54"/>
    </row>
    <row r="155" spans="12:12" ht="15" customHeight="1" x14ac:dyDescent="0.25">
      <c r="L155" s="54"/>
    </row>
    <row r="156" spans="12:12" ht="15.95" customHeight="1" x14ac:dyDescent="0.25">
      <c r="L156" s="54"/>
    </row>
    <row r="157" spans="12:12" ht="8.1" customHeight="1" x14ac:dyDescent="0.25">
      <c r="L157" s="54"/>
    </row>
    <row r="158" spans="12:12" ht="15.95" customHeight="1" x14ac:dyDescent="0.25">
      <c r="L158" s="54"/>
    </row>
    <row r="159" spans="12:12" ht="8.1" customHeight="1" x14ac:dyDescent="0.25">
      <c r="L159" s="54"/>
    </row>
    <row r="160" spans="12:12" s="55" customFormat="1" ht="15.95" customHeight="1" x14ac:dyDescent="0.25"/>
    <row r="161" spans="12:12" x14ac:dyDescent="0.25">
      <c r="L161" s="54"/>
    </row>
    <row r="162" spans="12:12" ht="20.100000000000001" customHeight="1" x14ac:dyDescent="0.25">
      <c r="L162" s="54"/>
    </row>
    <row r="163" spans="12:12" x14ac:dyDescent="0.25">
      <c r="L163" s="54"/>
    </row>
    <row r="164" spans="12:12" s="283" customFormat="1" ht="15.95" customHeight="1" x14ac:dyDescent="0.25"/>
    <row r="165" spans="12:12" s="283" customFormat="1" ht="15.95" customHeight="1" x14ac:dyDescent="0.25"/>
    <row r="166" spans="12:12" s="283" customFormat="1" ht="15.95" customHeight="1" x14ac:dyDescent="0.25"/>
    <row r="167" spans="12:12" s="283" customFormat="1" ht="8.1" customHeight="1" x14ac:dyDescent="0.25"/>
    <row r="168" spans="12:12" s="287" customFormat="1" ht="27.95" customHeight="1" x14ac:dyDescent="0.25"/>
    <row r="169" spans="12:12" s="283" customFormat="1" ht="8.1" customHeight="1" x14ac:dyDescent="0.25"/>
    <row r="170" spans="12:12" ht="21.95" customHeight="1" x14ac:dyDescent="0.25">
      <c r="L170" s="54"/>
    </row>
    <row r="171" spans="12:12" ht="21.95" customHeight="1" x14ac:dyDescent="0.25">
      <c r="L171" s="54"/>
    </row>
    <row r="172" spans="12:12" ht="15" customHeight="1" x14ac:dyDescent="0.25">
      <c r="L172" s="54"/>
    </row>
    <row r="173" spans="12:12" ht="15.95" customHeight="1" x14ac:dyDescent="0.25">
      <c r="L173" s="54"/>
    </row>
    <row r="174" spans="12:12" ht="8.1" customHeight="1" x14ac:dyDescent="0.25">
      <c r="L174" s="54"/>
    </row>
    <row r="175" spans="12:12" ht="15.95" customHeight="1" x14ac:dyDescent="0.25">
      <c r="L175" s="54"/>
    </row>
    <row r="176" spans="12:12" ht="8.1" customHeight="1" x14ac:dyDescent="0.25">
      <c r="L176" s="54"/>
    </row>
    <row r="177" spans="12:12" s="55" customFormat="1" ht="15.95" customHeight="1" x14ac:dyDescent="0.25"/>
    <row r="178" spans="12:12" x14ac:dyDescent="0.25">
      <c r="L178" s="54"/>
    </row>
    <row r="179" spans="12:12" ht="20.100000000000001" customHeight="1" x14ac:dyDescent="0.25">
      <c r="L179" s="54"/>
    </row>
    <row r="180" spans="12:12" x14ac:dyDescent="0.25">
      <c r="L180" s="54"/>
    </row>
    <row r="181" spans="12:12" s="283" customFormat="1" ht="15.95" customHeight="1" x14ac:dyDescent="0.25"/>
    <row r="182" spans="12:12" s="283" customFormat="1" ht="15.95" customHeight="1" x14ac:dyDescent="0.25"/>
    <row r="183" spans="12:12" s="283" customFormat="1" ht="15.95" customHeight="1" x14ac:dyDescent="0.25"/>
    <row r="184" spans="12:12" s="283" customFormat="1" ht="8.1" customHeight="1" x14ac:dyDescent="0.25"/>
    <row r="185" spans="12:12" s="287" customFormat="1" ht="27.95" customHeight="1" x14ac:dyDescent="0.25"/>
    <row r="186" spans="12:12" s="283" customFormat="1" ht="8.1" customHeight="1" x14ac:dyDescent="0.25"/>
    <row r="187" spans="12:12" ht="21.95" customHeight="1" x14ac:dyDescent="0.25">
      <c r="L187" s="54"/>
    </row>
    <row r="188" spans="12:12" ht="21.95" customHeight="1" x14ac:dyDescent="0.25">
      <c r="L188" s="54"/>
    </row>
    <row r="189" spans="12:12" ht="15" customHeight="1" x14ac:dyDescent="0.25">
      <c r="L189" s="54"/>
    </row>
    <row r="190" spans="12:12" ht="15.95" customHeight="1" x14ac:dyDescent="0.25">
      <c r="L190" s="54"/>
    </row>
    <row r="191" spans="12:12" ht="8.1" customHeight="1" x14ac:dyDescent="0.25">
      <c r="L191" s="54"/>
    </row>
    <row r="192" spans="12:12" ht="15.95" customHeight="1" x14ac:dyDescent="0.25">
      <c r="L192" s="54"/>
    </row>
    <row r="193" spans="12:12" ht="8.1" customHeight="1" x14ac:dyDescent="0.25">
      <c r="L193" s="54"/>
    </row>
    <row r="194" spans="12:12" s="55" customFormat="1" ht="15.95" customHeight="1" x14ac:dyDescent="0.25"/>
    <row r="195" spans="12:12" x14ac:dyDescent="0.25">
      <c r="L195" s="54"/>
    </row>
    <row r="196" spans="12:12" ht="20.100000000000001" customHeight="1" x14ac:dyDescent="0.25">
      <c r="L196" s="54"/>
    </row>
    <row r="197" spans="12:12" x14ac:dyDescent="0.25">
      <c r="L197" s="54"/>
    </row>
    <row r="198" spans="12:12" s="283" customFormat="1" ht="15.95" customHeight="1" x14ac:dyDescent="0.25"/>
    <row r="199" spans="12:12" s="283" customFormat="1" ht="15.95" customHeight="1" x14ac:dyDescent="0.25"/>
    <row r="200" spans="12:12" s="283" customFormat="1" ht="15.95" customHeight="1" x14ac:dyDescent="0.25"/>
    <row r="201" spans="12:12" s="283" customFormat="1" ht="8.1" customHeight="1" x14ac:dyDescent="0.25"/>
    <row r="202" spans="12:12" s="287" customFormat="1" ht="27.95" customHeight="1" x14ac:dyDescent="0.25"/>
    <row r="203" spans="12:12" s="283" customFormat="1" ht="8.1" customHeight="1" x14ac:dyDescent="0.25"/>
    <row r="204" spans="12:12" ht="21.95" customHeight="1" x14ac:dyDescent="0.25">
      <c r="L204" s="54"/>
    </row>
    <row r="205" spans="12:12" ht="21.95" customHeight="1" x14ac:dyDescent="0.25">
      <c r="L205" s="54"/>
    </row>
    <row r="206" spans="12:12" ht="15" customHeight="1" x14ac:dyDescent="0.25">
      <c r="L206" s="54"/>
    </row>
    <row r="207" spans="12:12" ht="15.95" customHeight="1" x14ac:dyDescent="0.25">
      <c r="L207" s="54"/>
    </row>
    <row r="208" spans="12:12" ht="8.1" customHeight="1" x14ac:dyDescent="0.25">
      <c r="L208" s="54"/>
    </row>
    <row r="209" spans="12:12" ht="15.95" customHeight="1" x14ac:dyDescent="0.25">
      <c r="L209" s="54"/>
    </row>
    <row r="210" spans="12:12" ht="8.1" customHeight="1" x14ac:dyDescent="0.25">
      <c r="L210" s="54"/>
    </row>
    <row r="211" spans="12:12" s="55" customFormat="1" ht="15.95" customHeight="1" x14ac:dyDescent="0.25"/>
    <row r="212" spans="12:12" x14ac:dyDescent="0.25">
      <c r="L212" s="54"/>
    </row>
    <row r="213" spans="12:12" ht="20.100000000000001" customHeight="1" x14ac:dyDescent="0.25">
      <c r="L213" s="54"/>
    </row>
    <row r="214" spans="12:12" x14ac:dyDescent="0.25">
      <c r="L214" s="54"/>
    </row>
    <row r="215" spans="12:12" s="283" customFormat="1" ht="15.95" customHeight="1" x14ac:dyDescent="0.25"/>
    <row r="216" spans="12:12" s="283" customFormat="1" ht="15.95" customHeight="1" x14ac:dyDescent="0.25"/>
    <row r="217" spans="12:12" s="283" customFormat="1" ht="15.95" customHeight="1" x14ac:dyDescent="0.25"/>
    <row r="218" spans="12:12" s="283" customFormat="1" ht="8.1" customHeight="1" x14ac:dyDescent="0.25"/>
    <row r="219" spans="12:12" s="287" customFormat="1" ht="27.95" customHeight="1" x14ac:dyDescent="0.25"/>
    <row r="220" spans="12:12" s="283" customFormat="1" ht="8.1" customHeight="1" x14ac:dyDescent="0.25"/>
    <row r="221" spans="12:12" ht="21.95" customHeight="1" x14ac:dyDescent="0.25">
      <c r="L221" s="54"/>
    </row>
    <row r="222" spans="12:12" ht="21.95" customHeight="1" x14ac:dyDescent="0.25">
      <c r="L222" s="54"/>
    </row>
    <row r="223" spans="12:12" ht="15" customHeight="1" x14ac:dyDescent="0.25">
      <c r="L223" s="54"/>
    </row>
    <row r="224" spans="12:12" ht="15.95" customHeight="1" x14ac:dyDescent="0.25">
      <c r="L224" s="54"/>
    </row>
    <row r="225" spans="12:12" ht="8.1" customHeight="1" x14ac:dyDescent="0.25">
      <c r="L225" s="54"/>
    </row>
    <row r="226" spans="12:12" ht="15.95" customHeight="1" x14ac:dyDescent="0.25">
      <c r="L226" s="54"/>
    </row>
    <row r="227" spans="12:12" ht="8.1" customHeight="1" x14ac:dyDescent="0.25">
      <c r="L227" s="54"/>
    </row>
    <row r="228" spans="12:12" s="55" customFormat="1" ht="15.95" customHeight="1" x14ac:dyDescent="0.25"/>
    <row r="229" spans="12:12" x14ac:dyDescent="0.25">
      <c r="L229" s="54"/>
    </row>
    <row r="230" spans="12:12" ht="20.100000000000001" customHeight="1" x14ac:dyDescent="0.25">
      <c r="L230" s="54"/>
    </row>
    <row r="231" spans="12:12" x14ac:dyDescent="0.25">
      <c r="L231" s="54"/>
    </row>
    <row r="232" spans="12:12" s="283" customFormat="1" ht="15.95" customHeight="1" x14ac:dyDescent="0.25"/>
    <row r="233" spans="12:12" s="283" customFormat="1" ht="15.95" customHeight="1" x14ac:dyDescent="0.25"/>
    <row r="234" spans="12:12" s="283" customFormat="1" ht="15.95" customHeight="1" x14ac:dyDescent="0.25"/>
    <row r="235" spans="12:12" s="283" customFormat="1" ht="8.1" customHeight="1" x14ac:dyDescent="0.25"/>
    <row r="236" spans="12:12" s="287" customFormat="1" ht="27.95" customHeight="1" x14ac:dyDescent="0.25"/>
    <row r="237" spans="12:12" s="283" customFormat="1" ht="8.1" customHeight="1" x14ac:dyDescent="0.25"/>
    <row r="238" spans="12:12" ht="21.95" customHeight="1" x14ac:dyDescent="0.25">
      <c r="L238" s="54"/>
    </row>
    <row r="239" spans="12:12" ht="21.95" customHeight="1" x14ac:dyDescent="0.25">
      <c r="L239" s="54"/>
    </row>
    <row r="240" spans="12:12" ht="15" customHeight="1" x14ac:dyDescent="0.25">
      <c r="L240" s="54"/>
    </row>
    <row r="241" spans="12:12" ht="15.95" customHeight="1" x14ac:dyDescent="0.25">
      <c r="L241" s="54"/>
    </row>
    <row r="242" spans="12:12" ht="8.1" customHeight="1" x14ac:dyDescent="0.25">
      <c r="L242" s="54"/>
    </row>
    <row r="243" spans="12:12" ht="15.95" customHeight="1" x14ac:dyDescent="0.25">
      <c r="L243" s="54"/>
    </row>
    <row r="244" spans="12:12" ht="8.1" customHeight="1" x14ac:dyDescent="0.25">
      <c r="L244" s="54"/>
    </row>
    <row r="245" spans="12:12" s="55" customFormat="1" ht="15.95" customHeight="1" x14ac:dyDescent="0.25"/>
    <row r="246" spans="12:12" x14ac:dyDescent="0.25">
      <c r="L246" s="54"/>
    </row>
    <row r="247" spans="12:12" ht="20.100000000000001" customHeight="1" x14ac:dyDescent="0.25">
      <c r="L247" s="54"/>
    </row>
    <row r="248" spans="12:12" x14ac:dyDescent="0.25">
      <c r="L248" s="54"/>
    </row>
    <row r="249" spans="12:12" s="283" customFormat="1" ht="15.95" customHeight="1" x14ac:dyDescent="0.25"/>
    <row r="250" spans="12:12" s="283" customFormat="1" ht="15.95" customHeight="1" x14ac:dyDescent="0.25"/>
    <row r="251" spans="12:12" s="283" customFormat="1" ht="15.95" customHeight="1" x14ac:dyDescent="0.25"/>
    <row r="252" spans="12:12" s="283" customFormat="1" ht="8.1" customHeight="1" x14ac:dyDescent="0.25"/>
    <row r="253" spans="12:12" s="287" customFormat="1" ht="27.95" customHeight="1" x14ac:dyDescent="0.25"/>
    <row r="254" spans="12:12" s="283" customFormat="1" ht="8.1" customHeight="1" x14ac:dyDescent="0.25"/>
    <row r="255" spans="12:12" ht="21.95" customHeight="1" x14ac:dyDescent="0.25">
      <c r="L255" s="54"/>
    </row>
    <row r="256" spans="12:12" ht="21.95" customHeight="1" x14ac:dyDescent="0.25">
      <c r="L256" s="54"/>
    </row>
    <row r="257" spans="12:12" ht="15" customHeight="1" x14ac:dyDescent="0.25">
      <c r="L257" s="54"/>
    </row>
    <row r="258" spans="12:12" ht="15.95" customHeight="1" x14ac:dyDescent="0.25">
      <c r="L258" s="54"/>
    </row>
    <row r="259" spans="12:12" ht="8.1" customHeight="1" x14ac:dyDescent="0.25">
      <c r="L259" s="54"/>
    </row>
    <row r="260" spans="12:12" ht="15.95" customHeight="1" x14ac:dyDescent="0.25">
      <c r="L260" s="54"/>
    </row>
    <row r="261" spans="12:12" ht="8.1" customHeight="1" x14ac:dyDescent="0.25">
      <c r="L261" s="54"/>
    </row>
    <row r="262" spans="12:12" s="55" customFormat="1" ht="15.95" customHeight="1" x14ac:dyDescent="0.25"/>
    <row r="263" spans="12:12" x14ac:dyDescent="0.25">
      <c r="L263" s="54"/>
    </row>
    <row r="264" spans="12:12" ht="20.100000000000001" customHeight="1" x14ac:dyDescent="0.25">
      <c r="L264" s="54"/>
    </row>
    <row r="265" spans="12:12" x14ac:dyDescent="0.25">
      <c r="L265" s="54"/>
    </row>
    <row r="266" spans="12:12" s="283" customFormat="1" ht="15.95" customHeight="1" x14ac:dyDescent="0.25"/>
    <row r="267" spans="12:12" s="283" customFormat="1" ht="15.95" customHeight="1" x14ac:dyDescent="0.25"/>
    <row r="268" spans="12:12" s="283" customFormat="1" ht="15.95" customHeight="1" x14ac:dyDescent="0.25"/>
    <row r="269" spans="12:12" s="283" customFormat="1" ht="8.1" customHeight="1" x14ac:dyDescent="0.25"/>
    <row r="270" spans="12:12" s="287" customFormat="1" ht="27.95" customHeight="1" x14ac:dyDescent="0.25"/>
    <row r="271" spans="12:12" s="283" customFormat="1" ht="8.1" customHeight="1" x14ac:dyDescent="0.25"/>
    <row r="272" spans="12:12" ht="21.95" customHeight="1" x14ac:dyDescent="0.25">
      <c r="L272" s="54"/>
    </row>
    <row r="273" spans="12:12" ht="21.95" customHeight="1" x14ac:dyDescent="0.25">
      <c r="L273" s="54"/>
    </row>
    <row r="274" spans="12:12" ht="15" customHeight="1" x14ac:dyDescent="0.25">
      <c r="L274" s="54"/>
    </row>
    <row r="275" spans="12:12" ht="15.95" customHeight="1" x14ac:dyDescent="0.25">
      <c r="L275" s="54"/>
    </row>
    <row r="276" spans="12:12" ht="8.1" customHeight="1" x14ac:dyDescent="0.25">
      <c r="L276" s="54"/>
    </row>
    <row r="277" spans="12:12" ht="15.95" customHeight="1" x14ac:dyDescent="0.25">
      <c r="L277" s="54"/>
    </row>
    <row r="278" spans="12:12" ht="8.1" customHeight="1" x14ac:dyDescent="0.25">
      <c r="L278" s="54"/>
    </row>
    <row r="279" spans="12:12" s="55" customFormat="1" ht="15.95" customHeight="1" x14ac:dyDescent="0.25"/>
    <row r="280" spans="12:12" x14ac:dyDescent="0.25">
      <c r="L280" s="54"/>
    </row>
    <row r="281" spans="12:12" ht="20.100000000000001" customHeight="1" x14ac:dyDescent="0.25">
      <c r="L281" s="54"/>
    </row>
    <row r="282" spans="12:12" x14ac:dyDescent="0.25">
      <c r="L282" s="54"/>
    </row>
    <row r="283" spans="12:12" s="283" customFormat="1" ht="15.95" customHeight="1" x14ac:dyDescent="0.25"/>
    <row r="284" spans="12:12" s="283" customFormat="1" ht="15.95" customHeight="1" x14ac:dyDescent="0.25"/>
    <row r="285" spans="12:12" s="283" customFormat="1" ht="15.95" customHeight="1" x14ac:dyDescent="0.25"/>
    <row r="286" spans="12:12" s="283" customFormat="1" ht="8.1" customHeight="1" x14ac:dyDescent="0.25"/>
    <row r="287" spans="12:12" s="287" customFormat="1" ht="27.95" customHeight="1" x14ac:dyDescent="0.25"/>
    <row r="288" spans="12:12" s="283" customFormat="1" ht="8.1" customHeight="1" x14ac:dyDescent="0.25"/>
    <row r="289" spans="12:12" ht="21.95" customHeight="1" x14ac:dyDescent="0.25">
      <c r="L289" s="54"/>
    </row>
    <row r="290" spans="12:12" ht="21.95" customHeight="1" x14ac:dyDescent="0.25">
      <c r="L290" s="54"/>
    </row>
    <row r="291" spans="12:12" ht="15" customHeight="1" x14ac:dyDescent="0.25">
      <c r="L291" s="54"/>
    </row>
    <row r="292" spans="12:12" ht="15.95" customHeight="1" x14ac:dyDescent="0.25">
      <c r="L292" s="54"/>
    </row>
    <row r="293" spans="12:12" ht="8.1" customHeight="1" x14ac:dyDescent="0.25">
      <c r="L293" s="54"/>
    </row>
    <row r="294" spans="12:12" ht="15.95" customHeight="1" x14ac:dyDescent="0.25">
      <c r="L294" s="54"/>
    </row>
    <row r="295" spans="12:12" ht="8.1" customHeight="1" x14ac:dyDescent="0.25">
      <c r="L295" s="54"/>
    </row>
    <row r="296" spans="12:12" s="55" customFormat="1" ht="15.95" customHeight="1" x14ac:dyDescent="0.25"/>
    <row r="297" spans="12:12" x14ac:dyDescent="0.25">
      <c r="L297" s="54"/>
    </row>
    <row r="298" spans="12:12" ht="20.100000000000001" customHeight="1" x14ac:dyDescent="0.25">
      <c r="L298" s="54"/>
    </row>
    <row r="299" spans="12:12" x14ac:dyDescent="0.25">
      <c r="L299" s="54"/>
    </row>
    <row r="300" spans="12:12" s="283" customFormat="1" ht="15.95" customHeight="1" x14ac:dyDescent="0.25"/>
    <row r="301" spans="12:12" s="283" customFormat="1" ht="15.95" customHeight="1" x14ac:dyDescent="0.25"/>
    <row r="302" spans="12:12" s="283" customFormat="1" ht="15.95" customHeight="1" x14ac:dyDescent="0.25"/>
    <row r="303" spans="12:12" s="283" customFormat="1" ht="8.1" customHeight="1" x14ac:dyDescent="0.25"/>
    <row r="304" spans="12:12" s="287" customFormat="1" ht="27.95" customHeight="1" x14ac:dyDescent="0.25"/>
    <row r="305" spans="12:12" s="283" customFormat="1" ht="8.1" customHeight="1" x14ac:dyDescent="0.25"/>
    <row r="306" spans="12:12" ht="21.95" customHeight="1" x14ac:dyDescent="0.25">
      <c r="L306" s="54"/>
    </row>
    <row r="307" spans="12:12" ht="21.95" customHeight="1" x14ac:dyDescent="0.25">
      <c r="L307" s="54"/>
    </row>
    <row r="308" spans="12:12" ht="15" customHeight="1" x14ac:dyDescent="0.25">
      <c r="L308" s="54"/>
    </row>
    <row r="309" spans="12:12" ht="15.95" customHeight="1" x14ac:dyDescent="0.25">
      <c r="L309" s="54"/>
    </row>
    <row r="310" spans="12:12" ht="8.1" customHeight="1" x14ac:dyDescent="0.25">
      <c r="L310" s="54"/>
    </row>
    <row r="311" spans="12:12" ht="15.95" customHeight="1" x14ac:dyDescent="0.25">
      <c r="L311" s="54"/>
    </row>
    <row r="312" spans="12:12" ht="8.1" customHeight="1" x14ac:dyDescent="0.25">
      <c r="L312" s="54"/>
    </row>
    <row r="313" spans="12:12" s="55" customFormat="1" ht="15.95" customHeight="1" x14ac:dyDescent="0.25"/>
    <row r="314" spans="12:12" x14ac:dyDescent="0.25">
      <c r="L314" s="54"/>
    </row>
    <row r="315" spans="12:12" ht="20.100000000000001" customHeight="1" x14ac:dyDescent="0.25">
      <c r="L315" s="54"/>
    </row>
    <row r="316" spans="12:12" x14ac:dyDescent="0.25">
      <c r="L316" s="54"/>
    </row>
    <row r="317" spans="12:12" s="283" customFormat="1" ht="15.95" customHeight="1" x14ac:dyDescent="0.25"/>
    <row r="318" spans="12:12" s="283" customFormat="1" ht="15.95" customHeight="1" x14ac:dyDescent="0.25"/>
    <row r="319" spans="12:12" s="283" customFormat="1" ht="15.95" customHeight="1" x14ac:dyDescent="0.25"/>
    <row r="320" spans="12:12" s="283" customFormat="1" ht="8.1" customHeight="1" x14ac:dyDescent="0.25"/>
    <row r="321" spans="12:12" s="287" customFormat="1" ht="27.95" customHeight="1" x14ac:dyDescent="0.25"/>
    <row r="322" spans="12:12" s="283" customFormat="1" ht="8.1" customHeight="1" x14ac:dyDescent="0.25"/>
    <row r="323" spans="12:12" ht="21.95" customHeight="1" x14ac:dyDescent="0.25">
      <c r="L323" s="54"/>
    </row>
    <row r="324" spans="12:12" ht="21.95" customHeight="1" x14ac:dyDescent="0.25">
      <c r="L324" s="54"/>
    </row>
    <row r="325" spans="12:12" ht="15" customHeight="1" x14ac:dyDescent="0.25">
      <c r="L325" s="54"/>
    </row>
    <row r="326" spans="12:12" ht="15.95" customHeight="1" x14ac:dyDescent="0.25">
      <c r="L326" s="54"/>
    </row>
    <row r="327" spans="12:12" ht="8.1" customHeight="1" x14ac:dyDescent="0.25">
      <c r="L327" s="54"/>
    </row>
    <row r="328" spans="12:12" ht="15.95" customHeight="1" x14ac:dyDescent="0.25">
      <c r="L328" s="54"/>
    </row>
    <row r="329" spans="12:12" ht="8.1" customHeight="1" x14ac:dyDescent="0.25">
      <c r="L329" s="54"/>
    </row>
    <row r="330" spans="12:12" s="55" customFormat="1" ht="15.95" customHeight="1" x14ac:dyDescent="0.25"/>
    <row r="331" spans="12:12" x14ac:dyDescent="0.25">
      <c r="L331" s="54"/>
    </row>
    <row r="332" spans="12:12" ht="20.100000000000001" customHeight="1" x14ac:dyDescent="0.25">
      <c r="L332" s="54"/>
    </row>
    <row r="333" spans="12:12" x14ac:dyDescent="0.25">
      <c r="L333" s="54"/>
    </row>
    <row r="334" spans="12:12" s="283" customFormat="1" ht="15.95" customHeight="1" x14ac:dyDescent="0.25"/>
    <row r="335" spans="12:12" s="283" customFormat="1" ht="15.95" customHeight="1" x14ac:dyDescent="0.25"/>
    <row r="336" spans="12:12" s="283" customFormat="1" ht="15.95" customHeight="1" x14ac:dyDescent="0.25"/>
    <row r="337" spans="12:12" s="283" customFormat="1" ht="8.1" customHeight="1" x14ac:dyDescent="0.25"/>
    <row r="338" spans="12:12" s="287" customFormat="1" ht="27.95" customHeight="1" x14ac:dyDescent="0.25"/>
    <row r="339" spans="12:12" s="283" customFormat="1" ht="8.1" customHeight="1" x14ac:dyDescent="0.25"/>
    <row r="340" spans="12:12" ht="21.95" customHeight="1" x14ac:dyDescent="0.25">
      <c r="L340" s="54"/>
    </row>
    <row r="341" spans="12:12" ht="21.95" customHeight="1" x14ac:dyDescent="0.25">
      <c r="L341" s="54"/>
    </row>
    <row r="342" spans="12:12" ht="15" customHeight="1" x14ac:dyDescent="0.25">
      <c r="L342" s="54"/>
    </row>
    <row r="343" spans="12:12" ht="15.95" customHeight="1" x14ac:dyDescent="0.25">
      <c r="L343" s="54"/>
    </row>
    <row r="344" spans="12:12" ht="8.1" customHeight="1" x14ac:dyDescent="0.25">
      <c r="L344" s="54"/>
    </row>
    <row r="345" spans="12:12" ht="15.95" customHeight="1" x14ac:dyDescent="0.25">
      <c r="L345" s="54"/>
    </row>
    <row r="346" spans="12:12" ht="8.1" customHeight="1" x14ac:dyDescent="0.25">
      <c r="L346" s="54"/>
    </row>
    <row r="347" spans="12:12" s="55" customFormat="1" ht="15.95" customHeight="1" x14ac:dyDescent="0.25"/>
    <row r="348" spans="12:12" x14ac:dyDescent="0.25">
      <c r="L348" s="54"/>
    </row>
    <row r="349" spans="12:12" ht="20.100000000000001" customHeight="1" x14ac:dyDescent="0.25">
      <c r="L349" s="54"/>
    </row>
    <row r="350" spans="12:12" x14ac:dyDescent="0.25">
      <c r="L350" s="54"/>
    </row>
    <row r="351" spans="12:12" s="283" customFormat="1" ht="15.95" customHeight="1" x14ac:dyDescent="0.25"/>
    <row r="352" spans="12:12" s="283" customFormat="1" ht="15.95" customHeight="1" x14ac:dyDescent="0.25"/>
    <row r="353" spans="12:12" s="283" customFormat="1" ht="15.95" customHeight="1" x14ac:dyDescent="0.25"/>
    <row r="354" spans="12:12" s="283" customFormat="1" ht="8.1" customHeight="1" x14ac:dyDescent="0.25"/>
    <row r="355" spans="12:12" s="287" customFormat="1" ht="27.95" customHeight="1" x14ac:dyDescent="0.25"/>
    <row r="356" spans="12:12" s="283" customFormat="1" ht="8.1" customHeight="1" x14ac:dyDescent="0.25"/>
    <row r="357" spans="12:12" ht="21.95" customHeight="1" x14ac:dyDescent="0.25">
      <c r="L357" s="54"/>
    </row>
    <row r="358" spans="12:12" ht="21.95" customHeight="1" x14ac:dyDescent="0.25">
      <c r="L358" s="54"/>
    </row>
    <row r="359" spans="12:12" ht="15" customHeight="1" x14ac:dyDescent="0.25">
      <c r="L359" s="54"/>
    </row>
    <row r="360" spans="12:12" ht="15.95" customHeight="1" x14ac:dyDescent="0.25">
      <c r="L360" s="54"/>
    </row>
    <row r="361" spans="12:12" ht="8.1" customHeight="1" x14ac:dyDescent="0.25">
      <c r="L361" s="54"/>
    </row>
    <row r="362" spans="12:12" ht="15.95" customHeight="1" x14ac:dyDescent="0.25">
      <c r="L362" s="54"/>
    </row>
    <row r="363" spans="12:12" ht="8.1" customHeight="1" x14ac:dyDescent="0.25">
      <c r="L363" s="54"/>
    </row>
    <row r="364" spans="12:12" s="55" customFormat="1" ht="15.95" customHeight="1" x14ac:dyDescent="0.25"/>
    <row r="365" spans="12:12" x14ac:dyDescent="0.25">
      <c r="L365" s="54"/>
    </row>
    <row r="366" spans="12:12" ht="20.100000000000001" customHeight="1" x14ac:dyDescent="0.25">
      <c r="L366" s="54"/>
    </row>
    <row r="367" spans="12:12" x14ac:dyDescent="0.25">
      <c r="L367" s="54"/>
    </row>
    <row r="368" spans="12:12" s="283" customFormat="1" ht="15.95" customHeight="1" x14ac:dyDescent="0.25"/>
    <row r="369" spans="12:12" s="283" customFormat="1" ht="15.95" customHeight="1" x14ac:dyDescent="0.25"/>
    <row r="370" spans="12:12" s="283" customFormat="1" ht="15.95" customHeight="1" x14ac:dyDescent="0.25"/>
    <row r="371" spans="12:12" s="283" customFormat="1" ht="15.95" customHeight="1" x14ac:dyDescent="0.25"/>
    <row r="372" spans="12:12" s="283" customFormat="1" ht="15.95" customHeight="1" x14ac:dyDescent="0.25"/>
    <row r="373" spans="12:12" s="283" customFormat="1" ht="8.1" customHeight="1" x14ac:dyDescent="0.25"/>
    <row r="374" spans="12:12" s="287" customFormat="1" ht="27.95" customHeight="1" x14ac:dyDescent="0.25"/>
    <row r="375" spans="12:12" s="283" customFormat="1" ht="8.1" customHeight="1" x14ac:dyDescent="0.25"/>
    <row r="376" spans="12:12" ht="21.95" customHeight="1" x14ac:dyDescent="0.25">
      <c r="L376" s="54"/>
    </row>
    <row r="377" spans="12:12" ht="21.95" customHeight="1" x14ac:dyDescent="0.25">
      <c r="L377" s="54"/>
    </row>
    <row r="378" spans="12:12" ht="15" customHeight="1" x14ac:dyDescent="0.25">
      <c r="L378" s="54"/>
    </row>
    <row r="379" spans="12:12" ht="15.95" customHeight="1" x14ac:dyDescent="0.25">
      <c r="L379" s="54"/>
    </row>
    <row r="380" spans="12:12" ht="8.1" customHeight="1" x14ac:dyDescent="0.25">
      <c r="L380" s="54"/>
    </row>
    <row r="381" spans="12:12" ht="15.95" customHeight="1" x14ac:dyDescent="0.25">
      <c r="L381" s="54"/>
    </row>
    <row r="382" spans="12:12" ht="8.1" customHeight="1" x14ac:dyDescent="0.25">
      <c r="L382" s="54"/>
    </row>
    <row r="383" spans="12:12" s="55" customFormat="1" ht="15.95" customHeight="1" x14ac:dyDescent="0.25"/>
    <row r="384" spans="12:12" ht="20.100000000000001" customHeight="1" x14ac:dyDescent="0.25">
      <c r="L384" s="54"/>
    </row>
  </sheetData>
  <mergeCells count="28">
    <mergeCell ref="H32:H33"/>
    <mergeCell ref="I32:I33"/>
    <mergeCell ref="J32:J33"/>
    <mergeCell ref="K32:K33"/>
    <mergeCell ref="L32:L33"/>
    <mergeCell ref="A40:G41"/>
    <mergeCell ref="A32:A33"/>
    <mergeCell ref="C32:C33"/>
    <mergeCell ref="D32:D33"/>
    <mergeCell ref="E32:E33"/>
    <mergeCell ref="F32:F33"/>
    <mergeCell ref="G32:G33"/>
    <mergeCell ref="A30:L30"/>
    <mergeCell ref="A1:L1"/>
    <mergeCell ref="A2:K2"/>
    <mergeCell ref="A10:L10"/>
    <mergeCell ref="A12:A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A22:K22"/>
  </mergeCells>
  <phoneticPr fontId="21" type="noConversion"/>
  <pageMargins left="0.70866141732283472" right="0.70866141732283472" top="0.74803149606299213" bottom="0.74803149606299213" header="0.31496062992125984" footer="0.31496062992125984"/>
  <pageSetup paperSize="14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79998168889431442"/>
    <pageSetUpPr fitToPage="1"/>
  </sheetPr>
  <dimension ref="A1:H55"/>
  <sheetViews>
    <sheetView zoomScale="85" zoomScaleNormal="85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baseColWidth="10" defaultRowHeight="15" x14ac:dyDescent="0.25"/>
  <cols>
    <col min="1" max="1" width="6" customWidth="1"/>
    <col min="2" max="2" width="6.28515625" customWidth="1"/>
    <col min="3" max="3" width="7" customWidth="1"/>
    <col min="4" max="4" width="50.42578125" customWidth="1"/>
    <col min="5" max="5" width="22" customWidth="1"/>
    <col min="6" max="6" width="23.28515625" customWidth="1"/>
    <col min="7" max="7" width="20.85546875" customWidth="1"/>
  </cols>
  <sheetData>
    <row r="1" spans="1:8" ht="29.25" customHeight="1" thickTop="1" x14ac:dyDescent="0.25">
      <c r="A1" s="325" t="s">
        <v>472</v>
      </c>
      <c r="B1" s="326"/>
      <c r="C1" s="326"/>
      <c r="D1" s="326"/>
      <c r="E1" s="326"/>
      <c r="F1" s="326"/>
      <c r="G1" s="327"/>
    </row>
    <row r="2" spans="1:8" ht="15.75" thickBot="1" x14ac:dyDescent="0.3">
      <c r="A2" s="328"/>
      <c r="B2" s="329"/>
      <c r="C2" s="329"/>
      <c r="D2" s="329"/>
      <c r="E2" s="329"/>
      <c r="F2" s="329"/>
      <c r="G2" s="330"/>
    </row>
    <row r="3" spans="1:8" ht="33" thickTop="1" thickBot="1" x14ac:dyDescent="0.3">
      <c r="A3" s="334" t="s">
        <v>268</v>
      </c>
      <c r="B3" s="334" t="s">
        <v>3</v>
      </c>
      <c r="C3" s="334" t="s">
        <v>269</v>
      </c>
      <c r="D3" s="335" t="s">
        <v>270</v>
      </c>
      <c r="E3" s="321" t="s">
        <v>271</v>
      </c>
      <c r="F3" s="190" t="s">
        <v>272</v>
      </c>
      <c r="G3" s="190" t="s">
        <v>273</v>
      </c>
    </row>
    <row r="4" spans="1:8" ht="24.75" customHeight="1" thickTop="1" thickBot="1" x14ac:dyDescent="0.3">
      <c r="A4" s="322"/>
      <c r="B4" s="322"/>
      <c r="C4" s="322"/>
      <c r="D4" s="336"/>
      <c r="E4" s="322"/>
      <c r="F4" s="323" t="s">
        <v>480</v>
      </c>
      <c r="G4" s="324" t="s">
        <v>1</v>
      </c>
    </row>
    <row r="5" spans="1:8" ht="24.75" customHeight="1" thickTop="1" thickBot="1" x14ac:dyDescent="0.3">
      <c r="A5" s="322"/>
      <c r="B5" s="322"/>
      <c r="C5" s="322"/>
      <c r="D5" s="337"/>
      <c r="E5" s="191" t="s">
        <v>475</v>
      </c>
      <c r="F5" s="191" t="s">
        <v>475</v>
      </c>
      <c r="G5" s="191" t="s">
        <v>274</v>
      </c>
    </row>
    <row r="6" spans="1:8" ht="9" customHeight="1" thickTop="1" thickBot="1" x14ac:dyDescent="0.3">
      <c r="A6" s="112"/>
      <c r="B6" s="97"/>
      <c r="C6" s="97"/>
      <c r="D6" s="98"/>
      <c r="E6" s="99"/>
      <c r="F6" s="99"/>
      <c r="G6" s="113"/>
    </row>
    <row r="7" spans="1:8" ht="16.5" thickTop="1" x14ac:dyDescent="0.25">
      <c r="A7" s="192">
        <v>21</v>
      </c>
      <c r="B7" s="193"/>
      <c r="C7" s="193"/>
      <c r="D7" s="194" t="s">
        <v>275</v>
      </c>
      <c r="E7" s="195">
        <f>+E8+E9</f>
        <v>215985491</v>
      </c>
      <c r="F7" s="195">
        <f>+F8+F9</f>
        <v>97078857.196999997</v>
      </c>
      <c r="G7" s="196">
        <f t="shared" ref="G7:G31" si="0">+F7/E7</f>
        <v>0.4494693451283725</v>
      </c>
    </row>
    <row r="8" spans="1:8" ht="15.75" x14ac:dyDescent="0.25">
      <c r="A8" s="114"/>
      <c r="B8" s="102"/>
      <c r="C8" s="102"/>
      <c r="D8" s="103" t="s">
        <v>276</v>
      </c>
      <c r="E8" s="104">
        <f>+(('Informe Ejecución'!T48+'Informe Ejecución'!T61+'Informe Ejecución'!T78+'Informe Ejecución'!T87))/1000</f>
        <v>192390234.928</v>
      </c>
      <c r="F8" s="104">
        <f>+('Informe Ejecución'!S48+'Informe Ejecución'!S61+'Informe Ejecución'!S78+'Informe Ejecución'!S87)/1000</f>
        <v>66590861.693000004</v>
      </c>
      <c r="G8" s="115">
        <f t="shared" si="0"/>
        <v>0.34612391693331485</v>
      </c>
    </row>
    <row r="9" spans="1:8" ht="15.75" x14ac:dyDescent="0.25">
      <c r="A9" s="114"/>
      <c r="B9" s="102"/>
      <c r="C9" s="102"/>
      <c r="D9" s="103" t="s">
        <v>277</v>
      </c>
      <c r="E9" s="104">
        <f>+(('Informe Ejecución'!T46)/1000)-('Informe WEB'!E8)</f>
        <v>23595256.071999997</v>
      </c>
      <c r="F9" s="104">
        <f>+(('Informe Ejecución'!S46)/1000)-('Informe WEB'!F8)</f>
        <v>30487995.503999993</v>
      </c>
      <c r="G9" s="115">
        <f t="shared" si="0"/>
        <v>1.292123951143699</v>
      </c>
    </row>
    <row r="10" spans="1:8" ht="15.75" x14ac:dyDescent="0.25">
      <c r="A10" s="197">
        <v>22</v>
      </c>
      <c r="B10" s="198"/>
      <c r="C10" s="198"/>
      <c r="D10" s="199" t="s">
        <v>278</v>
      </c>
      <c r="E10" s="200">
        <f>SUM(E11:E13)</f>
        <v>57185693</v>
      </c>
      <c r="F10" s="200">
        <f>SUM(F11:F13)</f>
        <v>15131736.816000002</v>
      </c>
      <c r="G10" s="201">
        <f t="shared" si="0"/>
        <v>0.26460703756794557</v>
      </c>
    </row>
    <row r="11" spans="1:8" ht="15.75" x14ac:dyDescent="0.25">
      <c r="A11" s="114"/>
      <c r="B11" s="102"/>
      <c r="C11" s="102"/>
      <c r="D11" s="103" t="s">
        <v>279</v>
      </c>
      <c r="E11" s="106">
        <f>+('Informe Ejecución'!T93-'Informe Ejecución'!T174-'Informe Ejecución'!T175)/1000</f>
        <v>51441707.840999998</v>
      </c>
      <c r="F11" s="106">
        <f>+('Informe Ejecución'!S93-'Informe Ejecución'!S174-'Informe Ejecución'!S175)/1000</f>
        <v>13680963.741</v>
      </c>
      <c r="G11" s="118">
        <f t="shared" si="0"/>
        <v>0.26595080752929467</v>
      </c>
    </row>
    <row r="12" spans="1:8" ht="15.75" x14ac:dyDescent="0.25">
      <c r="A12" s="114"/>
      <c r="B12" s="102"/>
      <c r="C12" s="102"/>
      <c r="D12" s="103" t="s">
        <v>353</v>
      </c>
      <c r="E12" s="106">
        <f>+('Informe Ejecución'!T174)/1000</f>
        <v>5067395.0990000004</v>
      </c>
      <c r="F12" s="106">
        <f>+('Informe Ejecución'!S174)/1000</f>
        <v>1388242.936</v>
      </c>
      <c r="G12" s="118">
        <f t="shared" si="0"/>
        <v>0.27395592979792632</v>
      </c>
      <c r="H12" s="15"/>
    </row>
    <row r="13" spans="1:8" ht="15.75" x14ac:dyDescent="0.25">
      <c r="A13" s="114"/>
      <c r="B13" s="102"/>
      <c r="C13" s="102"/>
      <c r="D13" s="103" t="s">
        <v>280</v>
      </c>
      <c r="E13" s="106">
        <f>+('Informe Ejecución'!T175)/1000</f>
        <v>676590.06</v>
      </c>
      <c r="F13" s="106">
        <f>+('Informe Ejecución'!S175)/1000</f>
        <v>62530.139000000003</v>
      </c>
      <c r="G13" s="118">
        <f t="shared" si="0"/>
        <v>9.2419535397844893E-2</v>
      </c>
    </row>
    <row r="14" spans="1:8" ht="15.75" x14ac:dyDescent="0.25">
      <c r="A14" s="197">
        <v>23</v>
      </c>
      <c r="B14" s="198"/>
      <c r="C14" s="198"/>
      <c r="D14" s="199" t="s">
        <v>281</v>
      </c>
      <c r="E14" s="200">
        <f>+E15+E16</f>
        <v>515520</v>
      </c>
      <c r="F14" s="200">
        <f>+F15+F16</f>
        <v>271026.73100000003</v>
      </c>
      <c r="G14" s="201">
        <f t="shared" si="0"/>
        <v>0.52573465820918686</v>
      </c>
      <c r="H14" s="15"/>
    </row>
    <row r="15" spans="1:8" ht="15.75" x14ac:dyDescent="0.25">
      <c r="A15" s="114"/>
      <c r="B15" s="107" t="s">
        <v>26</v>
      </c>
      <c r="C15" s="107"/>
      <c r="D15" s="103" t="s">
        <v>282</v>
      </c>
      <c r="E15" s="106">
        <f>+('Informe Ejecución'!T181)/1000</f>
        <v>515510</v>
      </c>
      <c r="F15" s="106">
        <f>+('Informe Ejecución'!S181)/1000</f>
        <v>271026.73100000003</v>
      </c>
      <c r="G15" s="118">
        <f t="shared" si="0"/>
        <v>0.5257448565498245</v>
      </c>
      <c r="H15" s="15"/>
    </row>
    <row r="16" spans="1:8" ht="15.75" x14ac:dyDescent="0.25">
      <c r="A16" s="114"/>
      <c r="B16" s="107" t="s">
        <v>44</v>
      </c>
      <c r="C16" s="107"/>
      <c r="D16" s="103" t="s">
        <v>283</v>
      </c>
      <c r="E16" s="106">
        <f>+('Informe Ejecución'!T183)/1000</f>
        <v>10</v>
      </c>
      <c r="F16" s="106">
        <f>+('Informe Ejecución'!S183)/1000</f>
        <v>0</v>
      </c>
      <c r="G16" s="118">
        <f t="shared" si="0"/>
        <v>0</v>
      </c>
    </row>
    <row r="17" spans="1:7" ht="15.75" x14ac:dyDescent="0.25">
      <c r="A17" s="197">
        <v>24</v>
      </c>
      <c r="B17" s="198"/>
      <c r="C17" s="198"/>
      <c r="D17" s="199" t="s">
        <v>284</v>
      </c>
      <c r="E17" s="200">
        <f>+E18+E20+E22+E24</f>
        <v>13847231</v>
      </c>
      <c r="F17" s="200">
        <f>+F18+F20+F24</f>
        <v>4095268.693</v>
      </c>
      <c r="G17" s="201">
        <f t="shared" si="0"/>
        <v>0.29574639817881276</v>
      </c>
    </row>
    <row r="18" spans="1:7" ht="15.75" x14ac:dyDescent="0.25">
      <c r="A18" s="116"/>
      <c r="B18" s="107" t="s">
        <v>26</v>
      </c>
      <c r="C18" s="100"/>
      <c r="D18" s="101" t="s">
        <v>285</v>
      </c>
      <c r="E18" s="105">
        <f>+E19</f>
        <v>61768</v>
      </c>
      <c r="F18" s="105">
        <f>+F19</f>
        <v>0</v>
      </c>
      <c r="G18" s="117">
        <f t="shared" si="0"/>
        <v>0</v>
      </c>
    </row>
    <row r="19" spans="1:7" ht="15.75" x14ac:dyDescent="0.25">
      <c r="A19" s="116"/>
      <c r="B19" s="100"/>
      <c r="C19" s="107" t="s">
        <v>28</v>
      </c>
      <c r="D19" s="103" t="s">
        <v>286</v>
      </c>
      <c r="E19" s="106">
        <f>+('Informe Ejecución'!T188)/1000</f>
        <v>61768</v>
      </c>
      <c r="F19" s="106">
        <f>+('Informe Ejecución'!S188)/1000</f>
        <v>0</v>
      </c>
      <c r="G19" s="118">
        <f t="shared" si="0"/>
        <v>0</v>
      </c>
    </row>
    <row r="20" spans="1:7" ht="15.75" x14ac:dyDescent="0.25">
      <c r="A20" s="114"/>
      <c r="B20" s="107" t="s">
        <v>34</v>
      </c>
      <c r="C20" s="102"/>
      <c r="D20" s="101" t="s">
        <v>287</v>
      </c>
      <c r="E20" s="105">
        <f>+E21</f>
        <v>1207381</v>
      </c>
      <c r="F20" s="105">
        <f>+F21</f>
        <v>682732.52599999995</v>
      </c>
      <c r="G20" s="117">
        <f t="shared" si="0"/>
        <v>0.56546568647344952</v>
      </c>
    </row>
    <row r="21" spans="1:7" ht="15.75" x14ac:dyDescent="0.25">
      <c r="A21" s="114"/>
      <c r="B21" s="102"/>
      <c r="C21" s="107" t="s">
        <v>28</v>
      </c>
      <c r="D21" s="103" t="s">
        <v>288</v>
      </c>
      <c r="E21" s="106">
        <f>+('Informe Ejecución'!T190)/1000</f>
        <v>1207381</v>
      </c>
      <c r="F21" s="106">
        <f>+('Informe Ejecución'!S190)/1000</f>
        <v>682732.52599999995</v>
      </c>
      <c r="G21" s="118">
        <f t="shared" si="0"/>
        <v>0.56546568647344952</v>
      </c>
    </row>
    <row r="22" spans="1:7" ht="15.75" x14ac:dyDescent="0.25">
      <c r="A22" s="114"/>
      <c r="B22" s="107" t="s">
        <v>140</v>
      </c>
      <c r="C22" s="107"/>
      <c r="D22" s="101" t="s">
        <v>476</v>
      </c>
      <c r="E22" s="105">
        <f>E23</f>
        <v>2608</v>
      </c>
      <c r="F22" s="105">
        <f>+F23</f>
        <v>0</v>
      </c>
      <c r="G22" s="117">
        <f t="shared" ref="G22:G23" si="1">+F22/E22</f>
        <v>0</v>
      </c>
    </row>
    <row r="23" spans="1:7" ht="15.75" x14ac:dyDescent="0.25">
      <c r="A23" s="114"/>
      <c r="B23" s="102"/>
      <c r="C23" s="107" t="s">
        <v>28</v>
      </c>
      <c r="D23" s="103" t="s">
        <v>478</v>
      </c>
      <c r="E23" s="106">
        <f>'Informe Ejecución'!T192/1000</f>
        <v>2608</v>
      </c>
      <c r="F23" s="106">
        <f>+('Informe Ejecución'!S192)/1000</f>
        <v>0</v>
      </c>
      <c r="G23" s="118">
        <f t="shared" si="1"/>
        <v>0</v>
      </c>
    </row>
    <row r="24" spans="1:7" ht="15.75" x14ac:dyDescent="0.25">
      <c r="A24" s="114"/>
      <c r="B24" s="107" t="s">
        <v>39</v>
      </c>
      <c r="C24" s="107"/>
      <c r="D24" s="101" t="s">
        <v>420</v>
      </c>
      <c r="E24" s="105">
        <f>E25</f>
        <v>12575474</v>
      </c>
      <c r="F24" s="105">
        <f>F25</f>
        <v>3412536.1669999999</v>
      </c>
      <c r="G24" s="117">
        <f t="shared" si="0"/>
        <v>0.27136441672099199</v>
      </c>
    </row>
    <row r="25" spans="1:7" ht="15.75" x14ac:dyDescent="0.25">
      <c r="A25" s="114"/>
      <c r="B25" s="102"/>
      <c r="C25" s="107" t="s">
        <v>28</v>
      </c>
      <c r="D25" s="103" t="s">
        <v>419</v>
      </c>
      <c r="E25" s="106">
        <f>+('Informe Ejecución'!T193)/1000</f>
        <v>12575474</v>
      </c>
      <c r="F25" s="106">
        <f>+('Informe Ejecución'!S193)/1000</f>
        <v>3412536.1669999999</v>
      </c>
      <c r="G25" s="118">
        <f t="shared" ref="G25:G28" si="2">+F25/E25</f>
        <v>0.27136441672099199</v>
      </c>
    </row>
    <row r="26" spans="1:7" ht="15.75" x14ac:dyDescent="0.25">
      <c r="A26" s="197">
        <v>25</v>
      </c>
      <c r="B26" s="202"/>
      <c r="C26" s="203"/>
      <c r="D26" s="199" t="s">
        <v>309</v>
      </c>
      <c r="E26" s="200">
        <f>+E27+E28</f>
        <v>863</v>
      </c>
      <c r="F26" s="200">
        <f>+F27+F28</f>
        <v>9450.5480000000007</v>
      </c>
      <c r="G26" s="201">
        <f t="shared" si="2"/>
        <v>10.950808806488993</v>
      </c>
    </row>
    <row r="27" spans="1:7" ht="15.75" x14ac:dyDescent="0.25">
      <c r="A27" s="114"/>
      <c r="B27" s="107" t="s">
        <v>26</v>
      </c>
      <c r="C27" s="107"/>
      <c r="D27" s="103" t="s">
        <v>310</v>
      </c>
      <c r="E27" s="106">
        <f>+'Informe Ejecución'!T201/1000</f>
        <v>853</v>
      </c>
      <c r="F27" s="106">
        <f>+'Informe Ejecución'!S201/1000</f>
        <v>9450.5480000000007</v>
      </c>
      <c r="G27" s="118">
        <f t="shared" si="2"/>
        <v>11.079188745603751</v>
      </c>
    </row>
    <row r="28" spans="1:7" ht="15.75" x14ac:dyDescent="0.25">
      <c r="A28" s="114"/>
      <c r="B28" s="107">
        <v>99</v>
      </c>
      <c r="C28" s="107"/>
      <c r="D28" s="103" t="s">
        <v>377</v>
      </c>
      <c r="E28" s="106">
        <f>+'Informe Ejecución'!T203/1000</f>
        <v>10</v>
      </c>
      <c r="F28" s="106">
        <f>+('Informe Ejecución'!S203)/1000</f>
        <v>0</v>
      </c>
      <c r="G28" s="118">
        <f t="shared" si="2"/>
        <v>0</v>
      </c>
    </row>
    <row r="29" spans="1:7" ht="15.75" x14ac:dyDescent="0.25">
      <c r="A29" s="197">
        <v>26</v>
      </c>
      <c r="B29" s="202"/>
      <c r="C29" s="203"/>
      <c r="D29" s="199" t="s">
        <v>396</v>
      </c>
      <c r="E29" s="200">
        <f>E30</f>
        <v>0</v>
      </c>
      <c r="F29" s="200">
        <f>F30</f>
        <v>227.05500000000001</v>
      </c>
      <c r="G29" s="201" t="s">
        <v>31</v>
      </c>
    </row>
    <row r="30" spans="1:7" ht="15.75" x14ac:dyDescent="0.25">
      <c r="A30" s="119"/>
      <c r="B30" s="108" t="s">
        <v>26</v>
      </c>
      <c r="C30" s="108"/>
      <c r="D30" s="109" t="s">
        <v>397</v>
      </c>
      <c r="E30" s="106">
        <f>('Informe Ejecución'!T207)/1000</f>
        <v>0</v>
      </c>
      <c r="F30" s="106">
        <f>+('Informe Ejecución'!S208)/1000</f>
        <v>227.05500000000001</v>
      </c>
      <c r="G30" s="118" t="s">
        <v>31</v>
      </c>
    </row>
    <row r="31" spans="1:7" ht="15.75" x14ac:dyDescent="0.25">
      <c r="A31" s="197">
        <v>29</v>
      </c>
      <c r="B31" s="198"/>
      <c r="C31" s="198"/>
      <c r="D31" s="199" t="s">
        <v>289</v>
      </c>
      <c r="E31" s="200">
        <f>SUM(E32:E38)</f>
        <v>1732355</v>
      </c>
      <c r="F31" s="200">
        <f>SUM(F32:F38)</f>
        <v>149023.40600000002</v>
      </c>
      <c r="G31" s="201">
        <f t="shared" si="0"/>
        <v>8.6023595625607921E-2</v>
      </c>
    </row>
    <row r="32" spans="1:7" ht="15.75" x14ac:dyDescent="0.25">
      <c r="A32" s="114"/>
      <c r="B32" s="107" t="s">
        <v>34</v>
      </c>
      <c r="C32" s="102"/>
      <c r="D32" s="103" t="s">
        <v>290</v>
      </c>
      <c r="E32" s="106">
        <f>+('Informe Ejecución'!T213)/1000</f>
        <v>0</v>
      </c>
      <c r="F32" s="106">
        <f>+('Informe Ejecución'!S213)/1000</f>
        <v>0</v>
      </c>
      <c r="G32" s="118" t="s">
        <v>31</v>
      </c>
    </row>
    <row r="33" spans="1:7" ht="15.75" x14ac:dyDescent="0.25">
      <c r="A33" s="114"/>
      <c r="B33" s="107" t="s">
        <v>44</v>
      </c>
      <c r="C33" s="102"/>
      <c r="D33" s="103" t="s">
        <v>291</v>
      </c>
      <c r="E33" s="106">
        <f>+('Informe Ejecución'!T230)/1000</f>
        <v>103100</v>
      </c>
      <c r="F33" s="106">
        <f>+('Informe Ejecución'!S230)/1000</f>
        <v>95382</v>
      </c>
      <c r="G33" s="118">
        <f>+F33/E33</f>
        <v>0.92514064015518915</v>
      </c>
    </row>
    <row r="34" spans="1:7" ht="15.75" x14ac:dyDescent="0.25">
      <c r="A34" s="120"/>
      <c r="B34" s="107" t="s">
        <v>46</v>
      </c>
      <c r="C34" s="102"/>
      <c r="D34" s="103" t="s">
        <v>292</v>
      </c>
      <c r="E34" s="106">
        <f>+('Informe Ejecución'!T232)/1000</f>
        <v>105889</v>
      </c>
      <c r="F34" s="106">
        <f>+('Informe Ejecución'!S232)/1000</f>
        <v>13355.522999999999</v>
      </c>
      <c r="G34" s="118">
        <f>+F34/E34</f>
        <v>0.126127576991</v>
      </c>
    </row>
    <row r="35" spans="1:7" ht="15.75" x14ac:dyDescent="0.25">
      <c r="A35" s="120"/>
      <c r="B35" s="107" t="s">
        <v>48</v>
      </c>
      <c r="C35" s="102"/>
      <c r="D35" s="103" t="s">
        <v>293</v>
      </c>
      <c r="E35" s="106">
        <f>+('Informe Ejecución'!T234)/1000</f>
        <v>1024368</v>
      </c>
      <c r="F35" s="106">
        <f>+('Informe Ejecución'!S234)/1000</f>
        <v>37284.910000000003</v>
      </c>
      <c r="G35" s="118">
        <f>+F35/E35</f>
        <v>3.6397964403417526E-2</v>
      </c>
    </row>
    <row r="36" spans="1:7" ht="15.75" x14ac:dyDescent="0.25">
      <c r="A36" s="120"/>
      <c r="B36" s="107" t="s">
        <v>50</v>
      </c>
      <c r="C36" s="102"/>
      <c r="D36" s="103" t="s">
        <v>294</v>
      </c>
      <c r="E36" s="106">
        <f>+('Informe Ejecución'!T237)/1000</f>
        <v>413549</v>
      </c>
      <c r="F36" s="106">
        <f>+('Informe Ejecución'!S237)/1000</f>
        <v>3000.973</v>
      </c>
      <c r="G36" s="118">
        <f>+F36/E36</f>
        <v>7.2566322249600409E-3</v>
      </c>
    </row>
    <row r="37" spans="1:7" ht="15.75" x14ac:dyDescent="0.25">
      <c r="A37" s="120"/>
      <c r="B37" s="107" t="s">
        <v>140</v>
      </c>
      <c r="C37" s="102"/>
      <c r="D37" s="103" t="s">
        <v>295</v>
      </c>
      <c r="E37" s="106">
        <f>+('Informe Ejecución'!T240)/1000</f>
        <v>85449</v>
      </c>
      <c r="F37" s="106">
        <f>+('Informe Ejecución'!S240)/1000</f>
        <v>0</v>
      </c>
      <c r="G37" s="118">
        <f t="shared" ref="G37:G40" si="3">+F37/E37</f>
        <v>0</v>
      </c>
    </row>
    <row r="38" spans="1:7" ht="15.75" x14ac:dyDescent="0.25">
      <c r="A38" s="120"/>
      <c r="B38" s="107" t="s">
        <v>296</v>
      </c>
      <c r="C38" s="102"/>
      <c r="D38" s="103" t="s">
        <v>297</v>
      </c>
      <c r="E38" s="106">
        <f>+('Informe Ejecución'!T243)/1000</f>
        <v>0</v>
      </c>
      <c r="F38" s="106">
        <f>+('Informe Ejecución'!S243)/1000</f>
        <v>0</v>
      </c>
      <c r="G38" s="118" t="s">
        <v>31</v>
      </c>
    </row>
    <row r="39" spans="1:7" ht="15.75" x14ac:dyDescent="0.25">
      <c r="A39" s="197">
        <v>31</v>
      </c>
      <c r="B39" s="198"/>
      <c r="C39" s="198"/>
      <c r="D39" s="199" t="s">
        <v>298</v>
      </c>
      <c r="E39" s="200">
        <f>+E40</f>
        <v>6107692</v>
      </c>
      <c r="F39" s="200">
        <f>+F40</f>
        <v>474177.745</v>
      </c>
      <c r="G39" s="201">
        <f t="shared" si="3"/>
        <v>7.763615863406341E-2</v>
      </c>
    </row>
    <row r="40" spans="1:7" ht="15.75" x14ac:dyDescent="0.25">
      <c r="A40" s="114"/>
      <c r="B40" s="107" t="s">
        <v>34</v>
      </c>
      <c r="C40" s="102"/>
      <c r="D40" s="103" t="s">
        <v>299</v>
      </c>
      <c r="E40" s="106">
        <f>+('Informe Ejecución'!T245)/1000</f>
        <v>6107692</v>
      </c>
      <c r="F40" s="106">
        <f>+('Informe Ejecución'!S245)/1000</f>
        <v>474177.745</v>
      </c>
      <c r="G40" s="118">
        <f t="shared" si="3"/>
        <v>7.763615863406341E-2</v>
      </c>
    </row>
    <row r="41" spans="1:7" ht="15.75" x14ac:dyDescent="0.25">
      <c r="A41" s="197">
        <v>32</v>
      </c>
      <c r="B41" s="198"/>
      <c r="C41" s="198"/>
      <c r="D41" s="199" t="s">
        <v>431</v>
      </c>
      <c r="E41" s="200">
        <f>+E42+E43</f>
        <v>0</v>
      </c>
      <c r="F41" s="200">
        <f>+F42+F43</f>
        <v>0</v>
      </c>
      <c r="G41" s="201" t="s">
        <v>31</v>
      </c>
    </row>
    <row r="42" spans="1:7" ht="15.75" x14ac:dyDescent="0.25">
      <c r="A42" s="114"/>
      <c r="B42" s="107" t="s">
        <v>50</v>
      </c>
      <c r="C42" s="107" t="s">
        <v>28</v>
      </c>
      <c r="D42" s="103" t="s">
        <v>300</v>
      </c>
      <c r="E42" s="106">
        <f>+('Informe Ejecución'!T343)/1000</f>
        <v>0</v>
      </c>
      <c r="F42" s="106">
        <f>+('Informe Ejecución'!S343)/1000</f>
        <v>0</v>
      </c>
      <c r="G42" s="118" t="s">
        <v>31</v>
      </c>
    </row>
    <row r="43" spans="1:7" ht="15.75" x14ac:dyDescent="0.25">
      <c r="A43" s="114"/>
      <c r="B43" s="110"/>
      <c r="C43" s="107" t="s">
        <v>32</v>
      </c>
      <c r="D43" s="103" t="s">
        <v>301</v>
      </c>
      <c r="E43" s="106">
        <f>+('Informe Ejecución'!T348)/1000</f>
        <v>0</v>
      </c>
      <c r="F43" s="106">
        <f>+('Informe Ejecución'!S348)/1000</f>
        <v>0</v>
      </c>
      <c r="G43" s="118" t="s">
        <v>31</v>
      </c>
    </row>
    <row r="44" spans="1:7" ht="15.75" x14ac:dyDescent="0.25">
      <c r="A44" s="197">
        <v>33</v>
      </c>
      <c r="B44" s="198"/>
      <c r="C44" s="204"/>
      <c r="D44" s="199" t="s">
        <v>302</v>
      </c>
      <c r="E44" s="200">
        <f>+E45</f>
        <v>0</v>
      </c>
      <c r="F44" s="200">
        <f>+F45</f>
        <v>0</v>
      </c>
      <c r="G44" s="201" t="s">
        <v>31</v>
      </c>
    </row>
    <row r="45" spans="1:7" ht="15.75" x14ac:dyDescent="0.25">
      <c r="A45" s="114"/>
      <c r="B45" s="107" t="s">
        <v>34</v>
      </c>
      <c r="C45" s="102"/>
      <c r="D45" s="103" t="s">
        <v>303</v>
      </c>
      <c r="E45" s="106">
        <f>+E46/1000</f>
        <v>0</v>
      </c>
      <c r="F45" s="106">
        <f>+F46</f>
        <v>0</v>
      </c>
      <c r="G45" s="118" t="s">
        <v>31</v>
      </c>
    </row>
    <row r="46" spans="1:7" ht="15.75" x14ac:dyDescent="0.25">
      <c r="A46" s="114"/>
      <c r="B46" s="102"/>
      <c r="C46" s="107" t="s">
        <v>28</v>
      </c>
      <c r="D46" s="103" t="s">
        <v>288</v>
      </c>
      <c r="E46" s="106">
        <f>+('Informe Ejecución'!T354)</f>
        <v>0</v>
      </c>
      <c r="F46" s="106">
        <f>+('Informe Ejecución'!S354)/1000</f>
        <v>0</v>
      </c>
      <c r="G46" s="118" t="s">
        <v>31</v>
      </c>
    </row>
    <row r="47" spans="1:7" ht="15.75" x14ac:dyDescent="0.25">
      <c r="A47" s="197">
        <v>34</v>
      </c>
      <c r="B47" s="198"/>
      <c r="C47" s="204"/>
      <c r="D47" s="199" t="s">
        <v>304</v>
      </c>
      <c r="E47" s="200">
        <f>+('Informe Ejecución'!T358)/1000</f>
        <v>10</v>
      </c>
      <c r="F47" s="200">
        <f>+('Informe Ejecución'!S358)/1000</f>
        <v>4033312.1379999998</v>
      </c>
      <c r="G47" s="201">
        <f>+F47/E47</f>
        <v>403331.21379999997</v>
      </c>
    </row>
    <row r="48" spans="1:7" ht="15.75" x14ac:dyDescent="0.25">
      <c r="A48" s="116">
        <v>35</v>
      </c>
      <c r="B48" s="100"/>
      <c r="C48" s="111"/>
      <c r="D48" s="101" t="s">
        <v>305</v>
      </c>
      <c r="E48" s="105">
        <f>+('Informe Ejecución'!T369)/1000</f>
        <v>0</v>
      </c>
      <c r="F48" s="105">
        <f>+'Informe Ejecución'!S369/1000</f>
        <v>0</v>
      </c>
      <c r="G48" s="118" t="s">
        <v>31</v>
      </c>
    </row>
    <row r="49" spans="1:7" ht="16.5" thickBot="1" x14ac:dyDescent="0.3">
      <c r="A49" s="121"/>
      <c r="B49" s="122"/>
      <c r="C49" s="123"/>
      <c r="D49" s="124"/>
      <c r="E49" s="125"/>
      <c r="F49" s="126"/>
      <c r="G49" s="127"/>
    </row>
    <row r="50" spans="1:7" ht="23.25" customHeight="1" thickTop="1" thickBot="1" x14ac:dyDescent="0.3">
      <c r="A50" s="331" t="s">
        <v>432</v>
      </c>
      <c r="B50" s="332"/>
      <c r="C50" s="332"/>
      <c r="D50" s="333"/>
      <c r="E50" s="205">
        <f>+E7+E10+E14+E17+E26+E31+E39+E41+E44+E47+E48+E29</f>
        <v>295374855</v>
      </c>
      <c r="F50" s="205">
        <f>+F7+F10+F14+F17+F26+F31+F39+F41+F44+F47+F48+F29</f>
        <v>121243080.32900001</v>
      </c>
      <c r="G50" s="206">
        <f>+F50/E50</f>
        <v>0.41047190807423339</v>
      </c>
    </row>
    <row r="51" spans="1:7" ht="15.75" thickTop="1" x14ac:dyDescent="0.25"/>
    <row r="52" spans="1:7" x14ac:dyDescent="0.25">
      <c r="E52" s="15"/>
      <c r="F52" s="15"/>
    </row>
    <row r="53" spans="1:7" x14ac:dyDescent="0.25">
      <c r="A53" s="13"/>
      <c r="B53" s="13"/>
      <c r="C53" s="13"/>
      <c r="D53" s="13"/>
      <c r="E53" s="10"/>
      <c r="F53" s="10"/>
      <c r="G53" s="13"/>
    </row>
    <row r="54" spans="1:7" x14ac:dyDescent="0.25">
      <c r="A54" s="13"/>
      <c r="B54" s="13"/>
      <c r="C54" s="13"/>
      <c r="D54" s="13"/>
      <c r="E54" s="10"/>
      <c r="F54" s="10"/>
      <c r="G54" s="13"/>
    </row>
    <row r="55" spans="1:7" x14ac:dyDescent="0.25">
      <c r="A55" s="13"/>
      <c r="B55" s="13"/>
      <c r="C55" s="13"/>
      <c r="D55" s="13"/>
      <c r="E55" s="10"/>
      <c r="F55" s="10"/>
      <c r="G55" s="13"/>
    </row>
  </sheetData>
  <mergeCells count="8">
    <mergeCell ref="E3:E4"/>
    <mergeCell ref="F4:G4"/>
    <mergeCell ref="A1:G2"/>
    <mergeCell ref="A50:D50"/>
    <mergeCell ref="A3:A5"/>
    <mergeCell ref="B3:B5"/>
    <mergeCell ref="C3:C5"/>
    <mergeCell ref="D3:D5"/>
  </mergeCells>
  <pageMargins left="0.70866141732283472" right="0.70866141732283472" top="0.74803149606299213" bottom="0.74803149606299213" header="0.31496062992125984" footer="0.31496062992125984"/>
  <pageSetup scale="64" orientation="landscape" r:id="rId1"/>
  <ignoredErrors>
    <ignoredError sqref="B15:B20 C31:C46 B31:B41 B43:B47 B27 C25:C27 C19:C21" numberStoredAsText="1"/>
    <ignoredError sqref="E19:F20 E21:F21 E2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7bae7df-bf87-4fc1-8738-dcc02210cf2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4934DFF94F1E4AB94F805CEE0BD94E" ma:contentTypeVersion="16" ma:contentTypeDescription="Crear nuevo documento." ma:contentTypeScope="" ma:versionID="62777ab7a11cc15de67ac8b6d83bbc19">
  <xsd:schema xmlns:xsd="http://www.w3.org/2001/XMLSchema" xmlns:xs="http://www.w3.org/2001/XMLSchema" xmlns:p="http://schemas.microsoft.com/office/2006/metadata/properties" xmlns:ns3="17bae7df-bf87-4fc1-8738-dcc02210cf2d" xmlns:ns4="bf05b4b8-9e3d-432a-b45a-58c4a52f3a10" targetNamespace="http://schemas.microsoft.com/office/2006/metadata/properties" ma:root="true" ma:fieldsID="18f8edf9069990f8461b854be710fcbe" ns3:_="" ns4:_="">
    <xsd:import namespace="17bae7df-bf87-4fc1-8738-dcc02210cf2d"/>
    <xsd:import namespace="bf05b4b8-9e3d-432a-b45a-58c4a52f3a1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OCR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bae7df-bf87-4fc1-8738-dcc02210cf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5b4b8-9e3d-432a-b45a-58c4a52f3a1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C3934E-8A1C-4C11-80D8-956808397557}">
  <ds:schemaRefs>
    <ds:schemaRef ds:uri="http://www.w3.org/XML/1998/namespace"/>
    <ds:schemaRef ds:uri="http://purl.org/dc/terms/"/>
    <ds:schemaRef ds:uri="http://purl.org/dc/elements/1.1/"/>
    <ds:schemaRef ds:uri="http://purl.org/dc/dcmitype/"/>
    <ds:schemaRef ds:uri="17bae7df-bf87-4fc1-8738-dcc02210cf2d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bf05b4b8-9e3d-432a-b45a-58c4a52f3a1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FF277F4-212C-4391-9658-DC969D64EC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bae7df-bf87-4fc1-8738-dcc02210cf2d"/>
    <ds:schemaRef ds:uri="bf05b4b8-9e3d-432a-b45a-58c4a52f3a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147045-2085-464D-9D11-4C85B3E64B6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c537770-210a-47ac-b2ab-cddef19e742f}" enabled="1" method="Standard" siteId="{8bef3dae-3f49-4f22-8a5d-85a8e59a371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Informe Ejecución</vt:lpstr>
      <vt:lpstr>Informe Victimas y Testigos</vt:lpstr>
      <vt:lpstr>Informe WEB</vt:lpstr>
      <vt:lpstr>'Informe Ejecución'!Área_de_impresión</vt:lpstr>
      <vt:lpstr>'Informe Ejecución'!Títulos_a_imprimir</vt:lpstr>
    </vt:vector>
  </TitlesOfParts>
  <Company>Ministerio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Ministerio Publico</dc:creator>
  <cp:lastModifiedBy>Raul Abarzua</cp:lastModifiedBy>
  <cp:lastPrinted>2025-03-12T11:59:38Z</cp:lastPrinted>
  <dcterms:created xsi:type="dcterms:W3CDTF">2017-05-30T15:29:27Z</dcterms:created>
  <dcterms:modified xsi:type="dcterms:W3CDTF">2026-07-15T22:06:50Z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0x010100224934DFF94F1E4AB94F805CEE0BD94E</vt:lpwstr>
  </property>
</Properties>
</file>